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/>
  <bookViews>
    <workbookView xWindow="0" yWindow="0" windowWidth="20490" windowHeight="7530" tabRatio="850" firstSheet="26" activeTab="34"/>
  </bookViews>
  <sheets>
    <sheet name="Branch ATM_1" sheetId="3" r:id="rId1"/>
    <sheet name="CD Ratio_2" sheetId="7" r:id="rId2"/>
    <sheet name="CD Ratio_3(i)" sheetId="9" r:id="rId3"/>
    <sheet name="CD Ratio_Dist_3(ii)" sheetId="112" r:id="rId4"/>
    <sheet name="OutstandingAgri_4" sheetId="104" r:id="rId5"/>
    <sheet name="MSMEoutstanding_5" sheetId="103" r:id="rId6"/>
    <sheet name="Pri Sec_outstanding_6" sheetId="107" r:id="rId7"/>
    <sheet name="Weaker Sec_7" sheetId="106" r:id="rId8"/>
    <sheet name="NPS_OS_8" sheetId="105" r:id="rId9"/>
    <sheet name="ACP_Agri_9(i)" sheetId="73" r:id="rId10"/>
    <sheet name="ACP_Agri_9(ii)" sheetId="108" r:id="rId11"/>
    <sheet name="ACP_MSME_10" sheetId="93" r:id="rId12"/>
    <sheet name="ACP_PS_11(i)" sheetId="71" r:id="rId13"/>
    <sheet name="ACP_PS_11(ii)" sheetId="109" r:id="rId14"/>
    <sheet name="ACP_NPS_12" sheetId="110" r:id="rId15"/>
    <sheet name="NPA_13" sheetId="15" r:id="rId16"/>
    <sheet name="NPA_PS_14" sheetId="78" r:id="rId17"/>
    <sheet name="NPA_NPS_15" sheetId="85" r:id="rId18"/>
    <sheet name="NPA_Govt. Sch16" sheetId="77" r:id="rId19"/>
    <sheet name="KCC_17" sheetId="42" r:id="rId20"/>
    <sheet name="Education Loan_18" sheetId="111" r:id="rId21"/>
    <sheet name="SHGs_19" sheetId="113" r:id="rId22"/>
    <sheet name="Restructured Acs_33" sheetId="101" state="hidden" r:id="rId23"/>
    <sheet name="Minority_OS_20" sheetId="114" r:id="rId24"/>
    <sheet name="Minority_Disb_21" sheetId="115" r:id="rId25"/>
    <sheet name="SCST_OS_22" sheetId="116" r:id="rId26"/>
    <sheet name="SCST_Disb_23" sheetId="117" r:id="rId27"/>
    <sheet name="Women_24" sheetId="118" r:id="rId28"/>
    <sheet name="Brick&amp; mortar_25" sheetId="121" r:id="rId29"/>
    <sheet name="BRISC_26" sheetId="122" r:id="rId30"/>
    <sheet name="PMEGP_27" sheetId="123" r:id="rId31"/>
    <sheet name="CMRHM_28" sheetId="124" r:id="rId32"/>
    <sheet name="PMMY_29" sheetId="125" r:id="rId33"/>
    <sheet name="SUI_30" sheetId="126" r:id="rId34"/>
    <sheet name="NRLM_31" sheetId="127" r:id="rId35"/>
    <sheet name="RSETI_32" sheetId="128" r:id="rId36"/>
    <sheet name="PMJDY_33" sheetId="129" r:id="rId37"/>
    <sheet name="Cashless_34" sheetId="130" r:id="rId38"/>
  </sheets>
  <definedNames>
    <definedName name="_xlnm._FilterDatabase" localSheetId="1" hidden="1">'CD Ratio_2'!$B$4:$K$63</definedName>
    <definedName name="_xlnm._FilterDatabase" localSheetId="2" hidden="1">'CD Ratio_3(i)'!$C$5:$J$64</definedName>
    <definedName name="_xlnm._FilterDatabase" localSheetId="3" hidden="1">'CD Ratio_Dist_3(ii)'!$A$4:$F$55</definedName>
    <definedName name="_xlnm._FilterDatabase" localSheetId="20" hidden="1">'Education Loan_18'!$A$5:$T$63</definedName>
    <definedName name="CompanyName">#REF!</definedName>
    <definedName name="CustomerLookup">'Branch ATM_1'!#REF!</definedName>
    <definedName name="Invoice_No">#REF!</definedName>
    <definedName name="InvoiceNoDetails">"InvoiceDetails[Invoice No]"</definedName>
    <definedName name="_xlnm.Print_Area" localSheetId="9">'ACP_Agri_9(i)'!$A$1:$L$64</definedName>
    <definedName name="_xlnm.Print_Area" localSheetId="10">'ACP_Agri_9(ii)'!$A$1:$Q$63</definedName>
    <definedName name="_xlnm.Print_Area" localSheetId="11">ACP_MSME_10!$A$1:$Q$66</definedName>
    <definedName name="_xlnm.Print_Area" localSheetId="14">ACP_NPS_12!$A$1:$Y$64</definedName>
    <definedName name="_xlnm.Print_Area" localSheetId="12">'ACP_PS_11(i)'!$A$1:$Q$70</definedName>
    <definedName name="_xlnm.Print_Area" localSheetId="13">'ACP_PS_11(ii)'!$A$1:$S$64</definedName>
    <definedName name="_xlnm.Print_Area" localSheetId="0">'Branch ATM_1'!$A$1:$G$61</definedName>
    <definedName name="_xlnm.Print_Area" localSheetId="28">'Brick&amp; mortar_25'!$A$1:$F$74</definedName>
    <definedName name="_xlnm.Print_Area" localSheetId="29">BRISC_26!$A$1:$R$62</definedName>
    <definedName name="_xlnm.Print_Area" localSheetId="1">'CD Ratio_2'!$A$1:$K$63</definedName>
    <definedName name="_xlnm.Print_Area" localSheetId="2">'CD Ratio_3(i)'!$A$1:$H$63</definedName>
    <definedName name="_xlnm.Print_Area" localSheetId="3">'CD Ratio_Dist_3(ii)'!$A$1:$F$55</definedName>
    <definedName name="_xlnm.Print_Area" localSheetId="31">CMRHM_28!$A$1:$H$31</definedName>
    <definedName name="_xlnm.Print_Area" localSheetId="20">'Education Loan_18'!$A$1:$R$65</definedName>
    <definedName name="_xlnm.Print_Area" localSheetId="19">KCC_17!$A$1:$F$64</definedName>
    <definedName name="_xlnm.Print_Area" localSheetId="24">Minority_Disb_21!$A$1:$P$64</definedName>
    <definedName name="_xlnm.Print_Area" localSheetId="23">Minority_OS_20!$A$1:$P$65</definedName>
    <definedName name="_xlnm.Print_Area" localSheetId="5">MSMEoutstanding_5!$A$1:$N$63</definedName>
    <definedName name="_xlnm.Print_Area" localSheetId="15">NPA_13!$A$1:$I$65</definedName>
    <definedName name="_xlnm.Print_Area" localSheetId="18">'NPA_Govt. Sch16'!$A$1:$V$64</definedName>
    <definedName name="_xlnm.Print_Area" localSheetId="17">NPA_NPS_15!$A$1:$L$64</definedName>
    <definedName name="_xlnm.Print_Area" localSheetId="16">NPA_PS_14!$A$1:$O$64</definedName>
    <definedName name="_xlnm.Print_Area" localSheetId="8">NPS_OS_8!$A$1:$V$63</definedName>
    <definedName name="_xlnm.Print_Area" localSheetId="34">NRLM_31!$A$1:$T$39</definedName>
    <definedName name="_xlnm.Print_Area" localSheetId="4">OutstandingAgri_4!$A$1:$M$63</definedName>
    <definedName name="_xlnm.Print_Area" localSheetId="36">PMJDY_33!$A$1:$H$64</definedName>
    <definedName name="_xlnm.Print_Area" localSheetId="32">PMMY_29!$A$1:$K$65</definedName>
    <definedName name="_xlnm.Print_Area" localSheetId="6">'Pri Sec_outstanding_6'!$A$1:$R$63</definedName>
    <definedName name="_xlnm.Print_Area" localSheetId="35">RSETI_32!$A$1:$R$57</definedName>
    <definedName name="_xlnm.Print_Area" localSheetId="26">SCST_Disb_23!$A$1:$I$65</definedName>
    <definedName name="_xlnm.Print_Area" localSheetId="25">SCST_OS_22!$A$1:$F$64</definedName>
    <definedName name="_xlnm.Print_Area" localSheetId="21">SHGs_19!$A$1:$J$64</definedName>
    <definedName name="_xlnm.Print_Area" localSheetId="33">SUI_30!$A$1:$M$41</definedName>
    <definedName name="_xlnm.Print_Area" localSheetId="7">'Weaker Sec_7'!$A$1:$S$63</definedName>
    <definedName name="_xlnm.Print_Area" localSheetId="27">Women_24!$A$1:$H$64</definedName>
    <definedName name="_xlnm.Print_Titles" localSheetId="0">'Branch ATM_1'!$3:$3</definedName>
    <definedName name="rngInvoice">#REF!</definedName>
  </definedNames>
  <calcPr calcId="144525"/>
</workbook>
</file>

<file path=xl/calcChain.xml><?xml version="1.0" encoding="utf-8"?>
<calcChain xmlns="http://schemas.openxmlformats.org/spreadsheetml/2006/main">
  <c r="T38" i="127" l="1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I65" i="129" l="1"/>
  <c r="H58" i="129"/>
  <c r="H62" i="129" s="1"/>
  <c r="G58" i="129"/>
  <c r="G62" i="129" s="1"/>
  <c r="F58" i="129"/>
  <c r="E58" i="129"/>
  <c r="D58" i="129"/>
  <c r="D62" i="129" s="1"/>
  <c r="C58" i="129"/>
  <c r="C62" i="129" s="1"/>
  <c r="H54" i="129"/>
  <c r="G54" i="129"/>
  <c r="F54" i="129"/>
  <c r="F62" i="129" s="1"/>
  <c r="E54" i="129"/>
  <c r="E62" i="129" s="1"/>
  <c r="D54" i="129"/>
  <c r="C54" i="129"/>
  <c r="H31" i="129"/>
  <c r="G31" i="129"/>
  <c r="F31" i="129"/>
  <c r="E31" i="129"/>
  <c r="D31" i="129"/>
  <c r="C31" i="129"/>
  <c r="H24" i="129"/>
  <c r="G24" i="129"/>
  <c r="F24" i="129"/>
  <c r="E24" i="129"/>
  <c r="D24" i="129"/>
  <c r="C24" i="129"/>
  <c r="D56" i="128" l="1"/>
  <c r="C56" i="128"/>
  <c r="I63" i="125" l="1"/>
  <c r="H63" i="125"/>
  <c r="G63" i="125"/>
  <c r="F63" i="125"/>
  <c r="E63" i="125"/>
  <c r="D63" i="125"/>
  <c r="C63" i="125"/>
  <c r="K62" i="125"/>
  <c r="K63" i="125" s="1"/>
  <c r="J62" i="125"/>
  <c r="J63" i="125" s="1"/>
  <c r="I61" i="125"/>
  <c r="H61" i="125"/>
  <c r="G61" i="125"/>
  <c r="G64" i="125" s="1"/>
  <c r="F61" i="125"/>
  <c r="E61" i="125"/>
  <c r="D61" i="125"/>
  <c r="C61" i="125"/>
  <c r="C64" i="125" s="1"/>
  <c r="K60" i="125"/>
  <c r="J60" i="125"/>
  <c r="K59" i="125"/>
  <c r="J59" i="125"/>
  <c r="K58" i="125"/>
  <c r="K61" i="125" s="1"/>
  <c r="J58" i="125"/>
  <c r="I57" i="125"/>
  <c r="H57" i="125"/>
  <c r="G57" i="125"/>
  <c r="F57" i="125"/>
  <c r="E57" i="125"/>
  <c r="D57" i="125"/>
  <c r="C57" i="125"/>
  <c r="K56" i="125"/>
  <c r="J56" i="125"/>
  <c r="K55" i="125"/>
  <c r="J55" i="125"/>
  <c r="K54" i="125"/>
  <c r="J54" i="125"/>
  <c r="K53" i="125"/>
  <c r="J53" i="125"/>
  <c r="K52" i="125"/>
  <c r="J52" i="125"/>
  <c r="K51" i="125"/>
  <c r="J51" i="125"/>
  <c r="K50" i="125"/>
  <c r="J50" i="125"/>
  <c r="K49" i="125"/>
  <c r="J49" i="125"/>
  <c r="K48" i="125"/>
  <c r="J48" i="125"/>
  <c r="K47" i="125"/>
  <c r="J47" i="125"/>
  <c r="K46" i="125"/>
  <c r="J46" i="125"/>
  <c r="K45" i="125"/>
  <c r="J45" i="125"/>
  <c r="K44" i="125"/>
  <c r="J44" i="125"/>
  <c r="K43" i="125"/>
  <c r="J43" i="125"/>
  <c r="K42" i="125"/>
  <c r="J42" i="125"/>
  <c r="K41" i="125"/>
  <c r="J41" i="125"/>
  <c r="K40" i="125"/>
  <c r="J40" i="125"/>
  <c r="K39" i="125"/>
  <c r="J39" i="125"/>
  <c r="K38" i="125"/>
  <c r="J38" i="125"/>
  <c r="K37" i="125"/>
  <c r="J37" i="125"/>
  <c r="K36" i="125"/>
  <c r="J36" i="125"/>
  <c r="K35" i="125"/>
  <c r="J35" i="125"/>
  <c r="J57" i="125" s="1"/>
  <c r="I34" i="125"/>
  <c r="H34" i="125"/>
  <c r="G34" i="125"/>
  <c r="F34" i="125"/>
  <c r="E34" i="125"/>
  <c r="D34" i="125"/>
  <c r="C34" i="125"/>
  <c r="K33" i="125"/>
  <c r="J33" i="125"/>
  <c r="K32" i="125"/>
  <c r="J32" i="125"/>
  <c r="K31" i="125"/>
  <c r="J31" i="125"/>
  <c r="K30" i="125"/>
  <c r="J30" i="125"/>
  <c r="K29" i="125"/>
  <c r="K34" i="125" s="1"/>
  <c r="J29" i="125"/>
  <c r="K28" i="125"/>
  <c r="J28" i="125"/>
  <c r="I27" i="125"/>
  <c r="H27" i="125"/>
  <c r="G27" i="125"/>
  <c r="F27" i="125"/>
  <c r="E27" i="125"/>
  <c r="D27" i="125"/>
  <c r="C27" i="125"/>
  <c r="K26" i="125"/>
  <c r="J26" i="125"/>
  <c r="K25" i="125"/>
  <c r="J25" i="125"/>
  <c r="K24" i="125"/>
  <c r="J24" i="125"/>
  <c r="K23" i="125"/>
  <c r="J23" i="125"/>
  <c r="K22" i="125"/>
  <c r="J22" i="125"/>
  <c r="K21" i="125"/>
  <c r="J21" i="125"/>
  <c r="K20" i="125"/>
  <c r="J20" i="125"/>
  <c r="K19" i="125"/>
  <c r="J19" i="125"/>
  <c r="K18" i="125"/>
  <c r="J18" i="125"/>
  <c r="K17" i="125"/>
  <c r="J17" i="125"/>
  <c r="K16" i="125"/>
  <c r="J16" i="125"/>
  <c r="K15" i="125"/>
  <c r="J15" i="125"/>
  <c r="K14" i="125"/>
  <c r="J14" i="125"/>
  <c r="K12" i="125"/>
  <c r="J12" i="125"/>
  <c r="K11" i="125"/>
  <c r="J11" i="125"/>
  <c r="K10" i="125"/>
  <c r="J10" i="125"/>
  <c r="K9" i="125"/>
  <c r="J9" i="125"/>
  <c r="K8" i="125"/>
  <c r="J8" i="125"/>
  <c r="K7" i="125"/>
  <c r="J7" i="125"/>
  <c r="K6" i="125"/>
  <c r="J6" i="125"/>
  <c r="J27" i="125" s="1"/>
  <c r="J34" i="125" l="1"/>
  <c r="J64" i="125" s="1"/>
  <c r="J61" i="125"/>
  <c r="E64" i="125"/>
  <c r="I64" i="125"/>
  <c r="K27" i="125"/>
  <c r="K57" i="125"/>
  <c r="D64" i="125"/>
  <c r="H64" i="125"/>
  <c r="K64" i="125"/>
  <c r="F64" i="125"/>
  <c r="G26" i="124" l="1"/>
  <c r="F26" i="124"/>
  <c r="E26" i="124"/>
  <c r="D26" i="124"/>
  <c r="H26" i="124" s="1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H8" i="124"/>
  <c r="H7" i="124"/>
  <c r="H6" i="124"/>
  <c r="M74" i="103" l="1"/>
  <c r="M73" i="103"/>
  <c r="M71" i="103"/>
  <c r="D55" i="73" l="1"/>
  <c r="V71" i="105" l="1"/>
  <c r="V73" i="105" s="1"/>
  <c r="U71" i="105"/>
  <c r="C66" i="113" l="1"/>
  <c r="O49" i="106" l="1"/>
  <c r="P49" i="106"/>
  <c r="T7" i="104" l="1"/>
  <c r="T8" i="104"/>
  <c r="T9" i="104"/>
  <c r="T10" i="104"/>
  <c r="T11" i="104"/>
  <c r="T12" i="104"/>
  <c r="T13" i="104"/>
  <c r="T14" i="104"/>
  <c r="T15" i="104"/>
  <c r="T16" i="104"/>
  <c r="T17" i="104"/>
  <c r="T18" i="104"/>
  <c r="T19" i="104"/>
  <c r="T20" i="104"/>
  <c r="T21" i="104"/>
  <c r="T22" i="104"/>
  <c r="T23" i="104"/>
  <c r="T24" i="104"/>
  <c r="T25" i="104"/>
  <c r="T26" i="104"/>
  <c r="T27" i="104"/>
  <c r="T28" i="104"/>
  <c r="T29" i="104"/>
  <c r="T30" i="104"/>
  <c r="T31" i="104"/>
  <c r="T32" i="104"/>
  <c r="T33" i="104"/>
  <c r="T34" i="104"/>
  <c r="T35" i="104"/>
  <c r="T36" i="104"/>
  <c r="T37" i="104"/>
  <c r="T38" i="104"/>
  <c r="T39" i="104"/>
  <c r="T40" i="104"/>
  <c r="T41" i="104"/>
  <c r="T42" i="104"/>
  <c r="T43" i="104"/>
  <c r="T44" i="104"/>
  <c r="T45" i="104"/>
  <c r="T46" i="104"/>
  <c r="T47" i="104"/>
  <c r="T48" i="104"/>
  <c r="T49" i="104"/>
  <c r="T50" i="104"/>
  <c r="T51" i="104"/>
  <c r="T52" i="104"/>
  <c r="T53" i="104"/>
  <c r="T54" i="104"/>
  <c r="T55" i="104"/>
  <c r="T56" i="104"/>
  <c r="T57" i="104"/>
  <c r="T58" i="104"/>
  <c r="T59" i="104"/>
  <c r="T60" i="104"/>
  <c r="T61" i="104"/>
  <c r="T62" i="104"/>
  <c r="T63" i="104"/>
  <c r="T6" i="104"/>
  <c r="E21" i="108" l="1"/>
  <c r="T45" i="105" l="1"/>
  <c r="G25" i="103"/>
  <c r="G14" i="103"/>
  <c r="F16" i="103"/>
  <c r="T42" i="105" l="1"/>
  <c r="T19" i="105"/>
  <c r="T15" i="105"/>
  <c r="N58" i="107" l="1"/>
  <c r="O58" i="107"/>
  <c r="O20" i="107"/>
  <c r="T43" i="105" l="1"/>
  <c r="T41" i="105"/>
  <c r="T34" i="105"/>
  <c r="T31" i="105"/>
  <c r="T28" i="105"/>
  <c r="T24" i="105"/>
  <c r="T18" i="105"/>
  <c r="T10" i="105"/>
  <c r="T9" i="105"/>
  <c r="T6" i="105"/>
  <c r="N41" i="107"/>
  <c r="N31" i="107"/>
  <c r="N32" i="107"/>
  <c r="N28" i="107"/>
  <c r="N29" i="107"/>
  <c r="N12" i="107"/>
  <c r="N10" i="107"/>
  <c r="N6" i="107"/>
  <c r="O41" i="107"/>
  <c r="O34" i="107"/>
  <c r="O31" i="107"/>
  <c r="O28" i="107"/>
  <c r="O10" i="107"/>
  <c r="O6" i="107"/>
  <c r="M14" i="109"/>
  <c r="M12" i="109"/>
  <c r="M10" i="109"/>
  <c r="N47" i="109"/>
  <c r="N34" i="109"/>
  <c r="N10" i="109"/>
  <c r="N7" i="15" l="1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7" i="15"/>
  <c r="N58" i="15"/>
  <c r="N59" i="15"/>
  <c r="N61" i="15"/>
  <c r="N6" i="15"/>
  <c r="D62" i="15" l="1"/>
  <c r="C62" i="15"/>
  <c r="D60" i="15"/>
  <c r="N60" i="15" s="1"/>
  <c r="C60" i="15"/>
  <c r="D56" i="15"/>
  <c r="N56" i="15" s="1"/>
  <c r="C56" i="15"/>
  <c r="D33" i="15"/>
  <c r="N33" i="15" s="1"/>
  <c r="C33" i="15"/>
  <c r="C63" i="15" l="1"/>
  <c r="D63" i="15"/>
  <c r="N63" i="15" s="1"/>
  <c r="N62" i="15"/>
  <c r="J72" i="107"/>
  <c r="T13" i="105"/>
  <c r="F21" i="110" l="1"/>
  <c r="V28" i="110"/>
  <c r="U58" i="110"/>
  <c r="U29" i="110"/>
  <c r="U27" i="110"/>
  <c r="J6" i="93"/>
  <c r="H16" i="93"/>
  <c r="H13" i="93"/>
  <c r="F43" i="93"/>
  <c r="E28" i="93"/>
  <c r="K43" i="108"/>
  <c r="J51" i="108"/>
  <c r="J49" i="108"/>
  <c r="F51" i="108"/>
  <c r="F43" i="108"/>
  <c r="F27" i="108"/>
  <c r="F16" i="108"/>
  <c r="F6" i="108"/>
  <c r="E49" i="108"/>
  <c r="E34" i="108"/>
  <c r="E27" i="108"/>
  <c r="K61" i="73"/>
  <c r="K34" i="73"/>
  <c r="F13" i="77" l="1"/>
  <c r="E13" i="77"/>
  <c r="D13" i="77"/>
  <c r="C13" i="77"/>
  <c r="V28" i="77" l="1"/>
  <c r="V29" i="77"/>
  <c r="V30" i="77"/>
  <c r="V32" i="77"/>
  <c r="V34" i="77"/>
  <c r="V43" i="77"/>
  <c r="V56" i="77"/>
  <c r="V57" i="77"/>
  <c r="V58" i="77"/>
  <c r="V59" i="77"/>
  <c r="V60" i="77"/>
  <c r="V61" i="77"/>
  <c r="V62" i="77"/>
  <c r="Q28" i="77"/>
  <c r="Q30" i="77"/>
  <c r="Q57" i="77"/>
  <c r="Q58" i="77"/>
  <c r="Q59" i="77"/>
  <c r="Q60" i="77"/>
  <c r="L29" i="77"/>
  <c r="L30" i="77"/>
  <c r="L31" i="77"/>
  <c r="L32" i="77"/>
  <c r="L56" i="77"/>
  <c r="L57" i="77"/>
  <c r="L58" i="77"/>
  <c r="L59" i="77"/>
  <c r="L60" i="77"/>
  <c r="G32" i="77"/>
  <c r="G34" i="77"/>
  <c r="G42" i="77"/>
  <c r="G56" i="77"/>
  <c r="G57" i="77"/>
  <c r="G58" i="77"/>
  <c r="G59" i="77"/>
  <c r="G60" i="77"/>
  <c r="H63" i="77"/>
  <c r="I63" i="77"/>
  <c r="R63" i="77"/>
  <c r="T63" i="77"/>
  <c r="D62" i="77"/>
  <c r="E62" i="77"/>
  <c r="F62" i="77"/>
  <c r="H62" i="77"/>
  <c r="I62" i="77"/>
  <c r="J62" i="77"/>
  <c r="K62" i="77"/>
  <c r="M62" i="77"/>
  <c r="N62" i="77"/>
  <c r="O62" i="77"/>
  <c r="P62" i="77"/>
  <c r="R62" i="77"/>
  <c r="S62" i="77"/>
  <c r="T62" i="77"/>
  <c r="U62" i="77"/>
  <c r="C62" i="77"/>
  <c r="D60" i="77"/>
  <c r="E60" i="77"/>
  <c r="F60" i="77"/>
  <c r="H60" i="77"/>
  <c r="I60" i="77"/>
  <c r="J60" i="77"/>
  <c r="K60" i="77"/>
  <c r="M60" i="77"/>
  <c r="N60" i="77"/>
  <c r="O60" i="77"/>
  <c r="P60" i="77"/>
  <c r="R60" i="77"/>
  <c r="S60" i="77"/>
  <c r="T60" i="77"/>
  <c r="U60" i="77"/>
  <c r="C60" i="77"/>
  <c r="D56" i="77"/>
  <c r="E56" i="77"/>
  <c r="F56" i="77"/>
  <c r="H56" i="77"/>
  <c r="I56" i="77"/>
  <c r="J56" i="77"/>
  <c r="K56" i="77"/>
  <c r="M56" i="77"/>
  <c r="N56" i="77"/>
  <c r="O56" i="77"/>
  <c r="P56" i="77"/>
  <c r="R56" i="77"/>
  <c r="S56" i="77"/>
  <c r="T56" i="77"/>
  <c r="U56" i="77"/>
  <c r="D33" i="77"/>
  <c r="D63" i="77" s="1"/>
  <c r="E33" i="77"/>
  <c r="E63" i="77" s="1"/>
  <c r="F33" i="77"/>
  <c r="F63" i="77" s="1"/>
  <c r="H33" i="77"/>
  <c r="I33" i="77"/>
  <c r="J33" i="77"/>
  <c r="J63" i="77" s="1"/>
  <c r="K33" i="77"/>
  <c r="L33" i="77" s="1"/>
  <c r="M33" i="77"/>
  <c r="M63" i="77" s="1"/>
  <c r="N33" i="77"/>
  <c r="N63" i="77" s="1"/>
  <c r="O33" i="77"/>
  <c r="O63" i="77" s="1"/>
  <c r="P33" i="77"/>
  <c r="R33" i="77"/>
  <c r="S33" i="77"/>
  <c r="V33" i="77" s="1"/>
  <c r="T33" i="77"/>
  <c r="U33" i="77"/>
  <c r="U63" i="77" s="1"/>
  <c r="S63" i="77" l="1"/>
  <c r="V63" i="77" s="1"/>
  <c r="G63" i="77"/>
  <c r="G33" i="77"/>
  <c r="Q33" i="77"/>
  <c r="P63" i="77"/>
  <c r="Q63" i="77" s="1"/>
  <c r="K63" i="77"/>
  <c r="L63" i="77" s="1"/>
  <c r="D67" i="85"/>
  <c r="F67" i="85"/>
  <c r="H67" i="85"/>
  <c r="K67" i="85"/>
  <c r="F68" i="78"/>
  <c r="H68" i="78"/>
  <c r="J68" i="78"/>
  <c r="L68" i="78"/>
  <c r="M68" i="78"/>
  <c r="O68" i="78"/>
  <c r="P68" i="78"/>
  <c r="G27" i="107" l="1"/>
  <c r="J27" i="85"/>
  <c r="T27" i="105"/>
  <c r="D68" i="115" l="1"/>
  <c r="E68" i="115"/>
  <c r="F68" i="115"/>
  <c r="G68" i="115"/>
  <c r="H68" i="115"/>
  <c r="I68" i="115"/>
  <c r="K68" i="115"/>
  <c r="L68" i="115"/>
  <c r="M68" i="115"/>
  <c r="N68" i="115"/>
  <c r="O68" i="115"/>
  <c r="C68" i="115"/>
  <c r="Q68" i="105" l="1"/>
  <c r="F68" i="105"/>
  <c r="H68" i="105"/>
  <c r="J68" i="105"/>
  <c r="L68" i="105"/>
  <c r="P68" i="105"/>
  <c r="R68" i="105"/>
  <c r="D67" i="103"/>
  <c r="H67" i="103"/>
  <c r="Q50" i="106" l="1"/>
  <c r="R50" i="106"/>
  <c r="W50" i="106" s="1"/>
  <c r="Q51" i="106"/>
  <c r="R51" i="106"/>
  <c r="W51" i="106" s="1"/>
  <c r="D13" i="106" l="1"/>
  <c r="H13" i="116"/>
  <c r="G13" i="116"/>
  <c r="V13" i="110" l="1"/>
  <c r="C56" i="118" l="1"/>
  <c r="D56" i="118"/>
  <c r="E56" i="118"/>
  <c r="F56" i="118"/>
  <c r="G56" i="118"/>
  <c r="H56" i="118"/>
  <c r="D56" i="111" l="1"/>
  <c r="E56" i="111"/>
  <c r="F56" i="111"/>
  <c r="G56" i="111"/>
  <c r="H56" i="111"/>
  <c r="I56" i="111"/>
  <c r="J56" i="111"/>
  <c r="K56" i="111"/>
  <c r="L56" i="111"/>
  <c r="M56" i="111"/>
  <c r="N56" i="111"/>
  <c r="Q56" i="111"/>
  <c r="R56" i="111"/>
  <c r="L22" i="77"/>
  <c r="M31" i="85" l="1"/>
  <c r="N31" i="85" s="1"/>
  <c r="O31" i="85"/>
  <c r="M32" i="85"/>
  <c r="N32" i="85" s="1"/>
  <c r="O32" i="85"/>
  <c r="M59" i="85"/>
  <c r="O59" i="85"/>
  <c r="M60" i="85"/>
  <c r="L46" i="78"/>
  <c r="D27" i="78"/>
  <c r="P32" i="85" l="1"/>
  <c r="P31" i="85"/>
  <c r="O33" i="85"/>
  <c r="O8" i="85"/>
  <c r="O9" i="85"/>
  <c r="O12" i="85"/>
  <c r="O13" i="85"/>
  <c r="O14" i="85"/>
  <c r="O16" i="85"/>
  <c r="O17" i="85"/>
  <c r="O18" i="85"/>
  <c r="O20" i="85"/>
  <c r="O21" i="85"/>
  <c r="O22" i="85"/>
  <c r="O24" i="85"/>
  <c r="O25" i="85"/>
  <c r="O26" i="85"/>
  <c r="O28" i="85"/>
  <c r="O29" i="85"/>
  <c r="O30" i="85"/>
  <c r="O34" i="85"/>
  <c r="O36" i="85"/>
  <c r="O37" i="85"/>
  <c r="O38" i="85"/>
  <c r="O40" i="85"/>
  <c r="O41" i="85"/>
  <c r="O42" i="85"/>
  <c r="O44" i="85"/>
  <c r="O45" i="85"/>
  <c r="O46" i="85"/>
  <c r="O48" i="85"/>
  <c r="O49" i="85"/>
  <c r="O50" i="85"/>
  <c r="O52" i="85"/>
  <c r="O53" i="85"/>
  <c r="O54" i="85"/>
  <c r="O56" i="85"/>
  <c r="O57" i="85"/>
  <c r="O58" i="85"/>
  <c r="M7" i="85"/>
  <c r="M8" i="85"/>
  <c r="M9" i="85"/>
  <c r="M10" i="85"/>
  <c r="M11" i="85"/>
  <c r="M12" i="85"/>
  <c r="M13" i="85"/>
  <c r="M14" i="85"/>
  <c r="M15" i="85"/>
  <c r="M17" i="85"/>
  <c r="M18" i="85"/>
  <c r="M19" i="85"/>
  <c r="M20" i="85"/>
  <c r="M21" i="85"/>
  <c r="M22" i="85"/>
  <c r="M23" i="85"/>
  <c r="M24" i="85"/>
  <c r="M25" i="85"/>
  <c r="M26" i="85"/>
  <c r="M28" i="85"/>
  <c r="M29" i="85"/>
  <c r="M30" i="85"/>
  <c r="M34" i="85"/>
  <c r="M35" i="85"/>
  <c r="M36" i="85"/>
  <c r="M37" i="85"/>
  <c r="M38" i="85"/>
  <c r="M39" i="85"/>
  <c r="M40" i="85"/>
  <c r="M41" i="85"/>
  <c r="M42" i="85"/>
  <c r="M43" i="85"/>
  <c r="M44" i="85"/>
  <c r="M45" i="85"/>
  <c r="M47" i="85"/>
  <c r="M48" i="85"/>
  <c r="M49" i="85"/>
  <c r="M50" i="85"/>
  <c r="M51" i="85"/>
  <c r="M52" i="85"/>
  <c r="M53" i="85"/>
  <c r="M54" i="85"/>
  <c r="M55" i="85"/>
  <c r="M57" i="85"/>
  <c r="M58" i="85"/>
  <c r="M6" i="85"/>
  <c r="O7" i="85"/>
  <c r="O10" i="85"/>
  <c r="O11" i="85"/>
  <c r="O15" i="85"/>
  <c r="O19" i="85"/>
  <c r="O23" i="85"/>
  <c r="O27" i="85"/>
  <c r="O35" i="85"/>
  <c r="O39" i="85"/>
  <c r="O43" i="85"/>
  <c r="O47" i="85"/>
  <c r="O51" i="85"/>
  <c r="O55" i="85"/>
  <c r="O6" i="85"/>
  <c r="C33" i="78"/>
  <c r="D33" i="78"/>
  <c r="E33" i="78"/>
  <c r="F33" i="78"/>
  <c r="G33" i="78"/>
  <c r="H33" i="78"/>
  <c r="I33" i="78"/>
  <c r="J33" i="78"/>
  <c r="K33" i="78"/>
  <c r="L33" i="78"/>
  <c r="K62" i="73"/>
  <c r="L35" i="103" l="1"/>
  <c r="T17" i="105" l="1"/>
  <c r="T62" i="103"/>
  <c r="Q7" i="104"/>
  <c r="R7" i="104"/>
  <c r="Q8" i="104"/>
  <c r="R8" i="104"/>
  <c r="Q9" i="104"/>
  <c r="R9" i="104"/>
  <c r="Q10" i="104"/>
  <c r="R10" i="104"/>
  <c r="Q11" i="104"/>
  <c r="R11" i="104"/>
  <c r="Q12" i="104"/>
  <c r="R12" i="104"/>
  <c r="Q13" i="104"/>
  <c r="R13" i="104"/>
  <c r="Q14" i="104"/>
  <c r="R14" i="104"/>
  <c r="Q15" i="104"/>
  <c r="R15" i="104"/>
  <c r="Q16" i="104"/>
  <c r="R16" i="104"/>
  <c r="Q17" i="104"/>
  <c r="R17" i="104"/>
  <c r="Q18" i="104"/>
  <c r="R18" i="104"/>
  <c r="Q19" i="104"/>
  <c r="R19" i="104"/>
  <c r="Q20" i="104"/>
  <c r="R20" i="104"/>
  <c r="Q21" i="104"/>
  <c r="R21" i="104"/>
  <c r="Q22" i="104"/>
  <c r="R22" i="104"/>
  <c r="Q23" i="104"/>
  <c r="R23" i="104"/>
  <c r="Q24" i="104"/>
  <c r="R24" i="104"/>
  <c r="Q25" i="104"/>
  <c r="R25" i="104"/>
  <c r="Q26" i="104"/>
  <c r="R26" i="104"/>
  <c r="Q27" i="104"/>
  <c r="Q28" i="104"/>
  <c r="R28" i="104"/>
  <c r="Q29" i="104"/>
  <c r="R29" i="104"/>
  <c r="Q30" i="104"/>
  <c r="R30" i="104"/>
  <c r="Q31" i="104"/>
  <c r="R31" i="104"/>
  <c r="Q32" i="104"/>
  <c r="R32" i="104"/>
  <c r="Q33" i="104"/>
  <c r="Q34" i="104"/>
  <c r="R34" i="104"/>
  <c r="Q35" i="104"/>
  <c r="R35" i="104"/>
  <c r="Q36" i="104"/>
  <c r="R36" i="104"/>
  <c r="Q37" i="104"/>
  <c r="R37" i="104"/>
  <c r="Q38" i="104"/>
  <c r="R38" i="104"/>
  <c r="Q39" i="104"/>
  <c r="R39" i="104"/>
  <c r="Q40" i="104"/>
  <c r="R40" i="104"/>
  <c r="Q41" i="104"/>
  <c r="R41" i="104"/>
  <c r="Q42" i="104"/>
  <c r="R42" i="104"/>
  <c r="Q43" i="104"/>
  <c r="R43" i="104"/>
  <c r="Q44" i="104"/>
  <c r="R44" i="104"/>
  <c r="Q45" i="104"/>
  <c r="R45" i="104"/>
  <c r="Q46" i="104"/>
  <c r="R46" i="104"/>
  <c r="Q47" i="104"/>
  <c r="R47" i="104"/>
  <c r="Q48" i="104"/>
  <c r="R48" i="104"/>
  <c r="Q49" i="104"/>
  <c r="R49" i="104"/>
  <c r="Q50" i="104"/>
  <c r="R50" i="104"/>
  <c r="Q51" i="104"/>
  <c r="R51" i="104"/>
  <c r="Q52" i="104"/>
  <c r="R52" i="104"/>
  <c r="Q53" i="104"/>
  <c r="R53" i="104"/>
  <c r="Q54" i="104"/>
  <c r="R54" i="104"/>
  <c r="Q55" i="104"/>
  <c r="R55" i="104"/>
  <c r="Q56" i="104"/>
  <c r="R56" i="104"/>
  <c r="Q57" i="104"/>
  <c r="R57" i="104"/>
  <c r="Q58" i="104"/>
  <c r="R58" i="104"/>
  <c r="Q59" i="104"/>
  <c r="R59" i="104"/>
  <c r="Q60" i="104"/>
  <c r="R60" i="104"/>
  <c r="Q61" i="104"/>
  <c r="Q62" i="104"/>
  <c r="Q63" i="104"/>
  <c r="R6" i="104"/>
  <c r="Q6" i="104"/>
  <c r="F61" i="104" l="1"/>
  <c r="F62" i="9"/>
  <c r="E62" i="9"/>
  <c r="D62" i="9"/>
  <c r="C62" i="9"/>
  <c r="F60" i="9"/>
  <c r="E60" i="9"/>
  <c r="D60" i="9"/>
  <c r="C60" i="9"/>
  <c r="F56" i="9"/>
  <c r="D56" i="9"/>
  <c r="C56" i="9"/>
  <c r="F33" i="9"/>
  <c r="E33" i="9"/>
  <c r="D33" i="9"/>
  <c r="C33" i="9"/>
  <c r="D63" i="9" l="1"/>
  <c r="E63" i="9"/>
  <c r="C63" i="9"/>
  <c r="F63" i="9"/>
  <c r="D62" i="42" l="1"/>
  <c r="E62" i="42"/>
  <c r="F62" i="42"/>
  <c r="C62" i="42"/>
  <c r="D60" i="42"/>
  <c r="E60" i="42"/>
  <c r="F60" i="42"/>
  <c r="C60" i="42"/>
  <c r="D56" i="42"/>
  <c r="E56" i="42"/>
  <c r="F56" i="42"/>
  <c r="C56" i="42"/>
  <c r="D33" i="42"/>
  <c r="E33" i="42"/>
  <c r="F33" i="42"/>
  <c r="C33" i="42"/>
  <c r="C63" i="42" l="1"/>
  <c r="F63" i="42"/>
  <c r="E63" i="42"/>
  <c r="D63" i="42"/>
  <c r="D27" i="73"/>
  <c r="D33" i="104" l="1"/>
  <c r="E33" i="104"/>
  <c r="F33" i="104"/>
  <c r="G33" i="104"/>
  <c r="H33" i="104"/>
  <c r="I33" i="104"/>
  <c r="J33" i="104"/>
  <c r="D62" i="107"/>
  <c r="E62" i="107"/>
  <c r="F62" i="107"/>
  <c r="G62" i="107"/>
  <c r="H62" i="107"/>
  <c r="J62" i="107"/>
  <c r="K62" i="107"/>
  <c r="L62" i="107"/>
  <c r="M62" i="107"/>
  <c r="N62" i="107"/>
  <c r="O62" i="107"/>
  <c r="D60" i="107"/>
  <c r="E60" i="107"/>
  <c r="F60" i="107"/>
  <c r="G60" i="107"/>
  <c r="H60" i="107"/>
  <c r="J60" i="107"/>
  <c r="K60" i="107"/>
  <c r="L60" i="107"/>
  <c r="M60" i="107"/>
  <c r="N60" i="107"/>
  <c r="D56" i="107"/>
  <c r="E56" i="107"/>
  <c r="O56" i="111" s="1"/>
  <c r="F56" i="107"/>
  <c r="P56" i="111" s="1"/>
  <c r="G56" i="107"/>
  <c r="H56" i="107"/>
  <c r="J56" i="107"/>
  <c r="K56" i="107"/>
  <c r="L56" i="107"/>
  <c r="M56" i="107"/>
  <c r="N56" i="107"/>
  <c r="O56" i="107"/>
  <c r="D33" i="107"/>
  <c r="E33" i="107"/>
  <c r="F33" i="107"/>
  <c r="G33" i="107"/>
  <c r="H33" i="107"/>
  <c r="J33" i="107"/>
  <c r="K33" i="107"/>
  <c r="L33" i="107"/>
  <c r="M33" i="107"/>
  <c r="N33" i="107"/>
  <c r="D62" i="104"/>
  <c r="E62" i="104"/>
  <c r="F62" i="104"/>
  <c r="G62" i="104"/>
  <c r="H62" i="104"/>
  <c r="I62" i="104"/>
  <c r="J62" i="104"/>
  <c r="D60" i="104"/>
  <c r="E60" i="104"/>
  <c r="F60" i="104"/>
  <c r="G60" i="104"/>
  <c r="H60" i="104"/>
  <c r="I60" i="104"/>
  <c r="J60" i="104"/>
  <c r="D56" i="104"/>
  <c r="E56" i="104"/>
  <c r="F56" i="104"/>
  <c r="G56" i="104"/>
  <c r="H56" i="104"/>
  <c r="I56" i="104"/>
  <c r="J56" i="104"/>
  <c r="L7" i="104"/>
  <c r="L8" i="104"/>
  <c r="L9" i="104"/>
  <c r="L10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R27" i="104" s="1"/>
  <c r="L28" i="104"/>
  <c r="L29" i="104"/>
  <c r="L30" i="104"/>
  <c r="L31" i="104"/>
  <c r="L32" i="104"/>
  <c r="L34" i="104"/>
  <c r="L35" i="104"/>
  <c r="L36" i="104"/>
  <c r="L37" i="104"/>
  <c r="L38" i="104"/>
  <c r="L39" i="104"/>
  <c r="L40" i="104"/>
  <c r="L41" i="104"/>
  <c r="L42" i="104"/>
  <c r="L43" i="104"/>
  <c r="L44" i="104"/>
  <c r="L45" i="104"/>
  <c r="L46" i="104"/>
  <c r="L47" i="104"/>
  <c r="L48" i="104"/>
  <c r="L49" i="104"/>
  <c r="L50" i="104"/>
  <c r="L51" i="104"/>
  <c r="L52" i="104"/>
  <c r="L53" i="104"/>
  <c r="L54" i="104"/>
  <c r="L55" i="104"/>
  <c r="L57" i="104"/>
  <c r="L58" i="104"/>
  <c r="L59" i="104"/>
  <c r="L61" i="104"/>
  <c r="R61" i="104" s="1"/>
  <c r="K7" i="104"/>
  <c r="K8" i="104"/>
  <c r="K9" i="104"/>
  <c r="K10" i="104"/>
  <c r="K11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4" i="104"/>
  <c r="K35" i="104"/>
  <c r="K36" i="104"/>
  <c r="K37" i="104"/>
  <c r="K38" i="104"/>
  <c r="K39" i="104"/>
  <c r="K40" i="104"/>
  <c r="K41" i="104"/>
  <c r="K42" i="104"/>
  <c r="K43" i="104"/>
  <c r="K44" i="104"/>
  <c r="K45" i="104"/>
  <c r="K46" i="104"/>
  <c r="K47" i="104"/>
  <c r="K48" i="104"/>
  <c r="K49" i="104"/>
  <c r="K50" i="104"/>
  <c r="K51" i="104"/>
  <c r="K52" i="104"/>
  <c r="K53" i="104"/>
  <c r="K54" i="104"/>
  <c r="K55" i="104"/>
  <c r="K57" i="104"/>
  <c r="K58" i="104"/>
  <c r="K59" i="104"/>
  <c r="K61" i="104"/>
  <c r="D33" i="103"/>
  <c r="E33" i="103"/>
  <c r="F33" i="103"/>
  <c r="G33" i="103"/>
  <c r="H33" i="103"/>
  <c r="I33" i="103"/>
  <c r="J33" i="103"/>
  <c r="K33" i="103"/>
  <c r="L33" i="103"/>
  <c r="N7" i="103"/>
  <c r="Q7" i="107" s="1"/>
  <c r="N8" i="103"/>
  <c r="N9" i="103"/>
  <c r="Q9" i="107" s="1"/>
  <c r="N10" i="103"/>
  <c r="Q10" i="107" s="1"/>
  <c r="W10" i="105" s="1"/>
  <c r="N11" i="103"/>
  <c r="Q11" i="107" s="1"/>
  <c r="N12" i="103"/>
  <c r="N13" i="103"/>
  <c r="Q13" i="107" s="1"/>
  <c r="W13" i="105" s="1"/>
  <c r="N14" i="103"/>
  <c r="Q14" i="107" s="1"/>
  <c r="W14" i="105" s="1"/>
  <c r="N15" i="103"/>
  <c r="Q15" i="107" s="1"/>
  <c r="N16" i="103"/>
  <c r="N17" i="103"/>
  <c r="Q17" i="107" s="1"/>
  <c r="N18" i="103"/>
  <c r="Q18" i="107" s="1"/>
  <c r="W18" i="105" s="1"/>
  <c r="N19" i="103"/>
  <c r="Q19" i="107" s="1"/>
  <c r="N20" i="103"/>
  <c r="N21" i="103"/>
  <c r="Q21" i="107" s="1"/>
  <c r="N22" i="103"/>
  <c r="Q22" i="107" s="1"/>
  <c r="W22" i="105" s="1"/>
  <c r="N23" i="103"/>
  <c r="Q23" i="107" s="1"/>
  <c r="N24" i="103"/>
  <c r="N25" i="103"/>
  <c r="Q25" i="107" s="1"/>
  <c r="N26" i="103"/>
  <c r="Q26" i="107" s="1"/>
  <c r="W26" i="105" s="1"/>
  <c r="N27" i="103"/>
  <c r="Q27" i="107" s="1"/>
  <c r="N28" i="103"/>
  <c r="N29" i="103"/>
  <c r="Q29" i="107" s="1"/>
  <c r="W29" i="105" s="1"/>
  <c r="N30" i="103"/>
  <c r="Q30" i="107" s="1"/>
  <c r="W30" i="105" s="1"/>
  <c r="N31" i="103"/>
  <c r="Q31" i="107" s="1"/>
  <c r="N32" i="103"/>
  <c r="N34" i="103"/>
  <c r="Q34" i="107" s="1"/>
  <c r="N35" i="103"/>
  <c r="Q35" i="107" s="1"/>
  <c r="N36" i="103"/>
  <c r="Q36" i="107" s="1"/>
  <c r="W36" i="105" s="1"/>
  <c r="N37" i="103"/>
  <c r="N38" i="103"/>
  <c r="Q38" i="107" s="1"/>
  <c r="N39" i="103"/>
  <c r="Q39" i="107" s="1"/>
  <c r="W39" i="105" s="1"/>
  <c r="N40" i="103"/>
  <c r="Q40" i="107" s="1"/>
  <c r="W40" i="105" s="1"/>
  <c r="N41" i="103"/>
  <c r="N42" i="103"/>
  <c r="Q42" i="107" s="1"/>
  <c r="W42" i="105" s="1"/>
  <c r="N43" i="103"/>
  <c r="Q43" i="107" s="1"/>
  <c r="N44" i="103"/>
  <c r="Q44" i="107" s="1"/>
  <c r="W44" i="105" s="1"/>
  <c r="N45" i="103"/>
  <c r="N46" i="103"/>
  <c r="Q46" i="107" s="1"/>
  <c r="N47" i="103"/>
  <c r="Q47" i="107" s="1"/>
  <c r="W47" i="105" s="1"/>
  <c r="N48" i="103"/>
  <c r="Q48" i="107" s="1"/>
  <c r="W48" i="105" s="1"/>
  <c r="N49" i="103"/>
  <c r="N50" i="103"/>
  <c r="Q50" i="107" s="1"/>
  <c r="W50" i="105" s="1"/>
  <c r="N51" i="103"/>
  <c r="Q51" i="107" s="1"/>
  <c r="N53" i="103"/>
  <c r="N54" i="103"/>
  <c r="Q54" i="107" s="1"/>
  <c r="N55" i="103"/>
  <c r="Q55" i="107" s="1"/>
  <c r="N57" i="103"/>
  <c r="N58" i="103"/>
  <c r="N59" i="103"/>
  <c r="Q59" i="107" s="1"/>
  <c r="N61" i="103"/>
  <c r="M7" i="103"/>
  <c r="M8" i="103"/>
  <c r="M9" i="103"/>
  <c r="P9" i="107" s="1"/>
  <c r="M10" i="103"/>
  <c r="P10" i="107" s="1"/>
  <c r="M11" i="103"/>
  <c r="M12" i="103"/>
  <c r="M13" i="103"/>
  <c r="P13" i="107" s="1"/>
  <c r="M14" i="103"/>
  <c r="P14" i="107" s="1"/>
  <c r="M15" i="103"/>
  <c r="P15" i="107" s="1"/>
  <c r="M16" i="103"/>
  <c r="P16" i="107" s="1"/>
  <c r="M17" i="103"/>
  <c r="P17" i="107" s="1"/>
  <c r="M18" i="103"/>
  <c r="P18" i="107" s="1"/>
  <c r="M19" i="103"/>
  <c r="P19" i="107" s="1"/>
  <c r="M20" i="103"/>
  <c r="P20" i="107" s="1"/>
  <c r="M21" i="103"/>
  <c r="P21" i="107" s="1"/>
  <c r="M22" i="103"/>
  <c r="P22" i="107" s="1"/>
  <c r="M23" i="103"/>
  <c r="P23" i="107" s="1"/>
  <c r="M24" i="103"/>
  <c r="P24" i="107" s="1"/>
  <c r="M25" i="103"/>
  <c r="P25" i="107" s="1"/>
  <c r="M26" i="103"/>
  <c r="P26" i="107" s="1"/>
  <c r="M27" i="103"/>
  <c r="P27" i="107" s="1"/>
  <c r="E27" i="15" s="1"/>
  <c r="M28" i="103"/>
  <c r="P28" i="107" s="1"/>
  <c r="M29" i="103"/>
  <c r="P29" i="107" s="1"/>
  <c r="M30" i="103"/>
  <c r="P30" i="107" s="1"/>
  <c r="M31" i="103"/>
  <c r="P31" i="107" s="1"/>
  <c r="M32" i="103"/>
  <c r="P32" i="107" s="1"/>
  <c r="M34" i="103"/>
  <c r="P34" i="107" s="1"/>
  <c r="M35" i="103"/>
  <c r="P35" i="107" s="1"/>
  <c r="M36" i="103"/>
  <c r="P36" i="107" s="1"/>
  <c r="M37" i="103"/>
  <c r="P37" i="107" s="1"/>
  <c r="M38" i="103"/>
  <c r="P38" i="107" s="1"/>
  <c r="M39" i="103"/>
  <c r="P39" i="107" s="1"/>
  <c r="M40" i="103"/>
  <c r="P40" i="107" s="1"/>
  <c r="M41" i="103"/>
  <c r="P41" i="107" s="1"/>
  <c r="M42" i="103"/>
  <c r="P42" i="107" s="1"/>
  <c r="M43" i="103"/>
  <c r="P43" i="107" s="1"/>
  <c r="M44" i="103"/>
  <c r="P44" i="107" s="1"/>
  <c r="M45" i="103"/>
  <c r="P45" i="107" s="1"/>
  <c r="M46" i="103"/>
  <c r="P46" i="107" s="1"/>
  <c r="M47" i="103"/>
  <c r="P47" i="107" s="1"/>
  <c r="M48" i="103"/>
  <c r="P48" i="107" s="1"/>
  <c r="M49" i="103"/>
  <c r="P49" i="107" s="1"/>
  <c r="M50" i="103"/>
  <c r="P50" i="107" s="1"/>
  <c r="M51" i="103"/>
  <c r="P51" i="107" s="1"/>
  <c r="M52" i="103"/>
  <c r="P52" i="107" s="1"/>
  <c r="M53" i="103"/>
  <c r="P53" i="107" s="1"/>
  <c r="M54" i="103"/>
  <c r="P54" i="107" s="1"/>
  <c r="M55" i="103"/>
  <c r="P55" i="107" s="1"/>
  <c r="M57" i="103"/>
  <c r="P57" i="107" s="1"/>
  <c r="M58" i="103"/>
  <c r="P58" i="107" s="1"/>
  <c r="M59" i="103"/>
  <c r="P59" i="107" s="1"/>
  <c r="M61" i="103"/>
  <c r="P61" i="107" s="1"/>
  <c r="Y33" i="105"/>
  <c r="M7" i="9"/>
  <c r="N7" i="9" s="1"/>
  <c r="M8" i="9"/>
  <c r="N8" i="9" s="1"/>
  <c r="M9" i="9"/>
  <c r="N9" i="9" s="1"/>
  <c r="M10" i="9"/>
  <c r="N10" i="9" s="1"/>
  <c r="M11" i="9"/>
  <c r="N11" i="9" s="1"/>
  <c r="M12" i="9"/>
  <c r="N12" i="9" s="1"/>
  <c r="M13" i="9"/>
  <c r="N13" i="9" s="1"/>
  <c r="M14" i="9"/>
  <c r="N14" i="9" s="1"/>
  <c r="M15" i="9"/>
  <c r="N15" i="9" s="1"/>
  <c r="M16" i="9"/>
  <c r="N16" i="9" s="1"/>
  <c r="M17" i="9"/>
  <c r="N17" i="9" s="1"/>
  <c r="M18" i="9"/>
  <c r="N18" i="9" s="1"/>
  <c r="M19" i="9"/>
  <c r="N19" i="9" s="1"/>
  <c r="M20" i="9"/>
  <c r="N20" i="9" s="1"/>
  <c r="M21" i="9"/>
  <c r="N21" i="9" s="1"/>
  <c r="M22" i="9"/>
  <c r="N22" i="9" s="1"/>
  <c r="M23" i="9"/>
  <c r="N23" i="9" s="1"/>
  <c r="M24" i="9"/>
  <c r="N24" i="9" s="1"/>
  <c r="M25" i="9"/>
  <c r="N25" i="9" s="1"/>
  <c r="M26" i="9"/>
  <c r="N26" i="9" s="1"/>
  <c r="M27" i="9"/>
  <c r="N27" i="9" s="1"/>
  <c r="M28" i="9"/>
  <c r="N28" i="9" s="1"/>
  <c r="M29" i="9"/>
  <c r="N29" i="9" s="1"/>
  <c r="M30" i="9"/>
  <c r="N30" i="9" s="1"/>
  <c r="M31" i="9"/>
  <c r="N31" i="9" s="1"/>
  <c r="M32" i="9"/>
  <c r="N32" i="9" s="1"/>
  <c r="M34" i="9"/>
  <c r="N34" i="9" s="1"/>
  <c r="M35" i="9"/>
  <c r="N35" i="9" s="1"/>
  <c r="M36" i="9"/>
  <c r="N36" i="9" s="1"/>
  <c r="M37" i="9"/>
  <c r="N37" i="9" s="1"/>
  <c r="M38" i="9"/>
  <c r="N38" i="9" s="1"/>
  <c r="M39" i="9"/>
  <c r="N39" i="9" s="1"/>
  <c r="M40" i="9"/>
  <c r="N40" i="9" s="1"/>
  <c r="M41" i="9"/>
  <c r="N41" i="9" s="1"/>
  <c r="M42" i="9"/>
  <c r="N42" i="9" s="1"/>
  <c r="M43" i="9"/>
  <c r="N43" i="9" s="1"/>
  <c r="M44" i="9"/>
  <c r="N44" i="9" s="1"/>
  <c r="M45" i="9"/>
  <c r="N45" i="9" s="1"/>
  <c r="M46" i="9"/>
  <c r="N46" i="9" s="1"/>
  <c r="M47" i="9"/>
  <c r="N47" i="9" s="1"/>
  <c r="M48" i="9"/>
  <c r="N48" i="9" s="1"/>
  <c r="M49" i="9"/>
  <c r="N49" i="9" s="1"/>
  <c r="M50" i="9"/>
  <c r="N50" i="9" s="1"/>
  <c r="M51" i="9"/>
  <c r="N51" i="9" s="1"/>
  <c r="M52" i="9"/>
  <c r="N52" i="9" s="1"/>
  <c r="M53" i="9"/>
  <c r="N53" i="9" s="1"/>
  <c r="M54" i="9"/>
  <c r="N54" i="9" s="1"/>
  <c r="M55" i="9"/>
  <c r="N55" i="9" s="1"/>
  <c r="M57" i="9"/>
  <c r="N57" i="9" s="1"/>
  <c r="M58" i="9"/>
  <c r="N58" i="9" s="1"/>
  <c r="M59" i="9"/>
  <c r="N59" i="9" s="1"/>
  <c r="W21" i="105"/>
  <c r="W55" i="105"/>
  <c r="W38" i="105"/>
  <c r="W46" i="105"/>
  <c r="W54" i="105"/>
  <c r="H33" i="105"/>
  <c r="I33" i="105"/>
  <c r="J33" i="105"/>
  <c r="M33" i="105"/>
  <c r="N33" i="105"/>
  <c r="O33" i="105"/>
  <c r="P33" i="105"/>
  <c r="Q33" i="105"/>
  <c r="R33" i="105"/>
  <c r="S33" i="105"/>
  <c r="G33" i="105"/>
  <c r="Y7" i="105"/>
  <c r="Y8" i="105"/>
  <c r="Y9" i="105"/>
  <c r="Y10" i="105"/>
  <c r="Y11" i="105"/>
  <c r="Y12" i="105"/>
  <c r="Y13" i="105"/>
  <c r="Y14" i="105"/>
  <c r="Y15" i="105"/>
  <c r="Y16" i="105"/>
  <c r="Y17" i="105"/>
  <c r="Y18" i="105"/>
  <c r="Y19" i="105"/>
  <c r="Y20" i="105"/>
  <c r="Y21" i="105"/>
  <c r="Y22" i="105"/>
  <c r="Y23" i="105"/>
  <c r="Y24" i="105"/>
  <c r="Y25" i="105"/>
  <c r="Y26" i="105"/>
  <c r="Y27" i="105"/>
  <c r="Y28" i="105"/>
  <c r="Y29" i="105"/>
  <c r="Y30" i="105"/>
  <c r="Y31" i="105"/>
  <c r="Y32" i="105"/>
  <c r="Y34" i="105"/>
  <c r="Y35" i="105"/>
  <c r="Y36" i="105"/>
  <c r="Y37" i="105"/>
  <c r="Y38" i="105"/>
  <c r="Y39" i="105"/>
  <c r="Y40" i="105"/>
  <c r="Y41" i="105"/>
  <c r="Y42" i="105"/>
  <c r="Y43" i="105"/>
  <c r="Y44" i="105"/>
  <c r="Y45" i="105"/>
  <c r="Y46" i="105"/>
  <c r="Y47" i="105"/>
  <c r="Y48" i="105"/>
  <c r="Y49" i="105"/>
  <c r="Y50" i="105"/>
  <c r="Y51" i="105"/>
  <c r="Y52" i="105"/>
  <c r="Y53" i="105"/>
  <c r="Y54" i="105"/>
  <c r="Y55" i="105"/>
  <c r="Y57" i="105"/>
  <c r="Y58" i="105"/>
  <c r="Y59" i="105"/>
  <c r="Y61" i="105"/>
  <c r="Y6" i="105"/>
  <c r="L63" i="107" l="1"/>
  <c r="G63" i="107"/>
  <c r="M63" i="107"/>
  <c r="M67" i="107" s="1"/>
  <c r="H63" i="107"/>
  <c r="H67" i="107" s="1"/>
  <c r="D63" i="107"/>
  <c r="K63" i="107"/>
  <c r="K67" i="107" s="1"/>
  <c r="F63" i="107"/>
  <c r="F67" i="107" s="1"/>
  <c r="N63" i="107"/>
  <c r="J63" i="107"/>
  <c r="E63" i="107"/>
  <c r="J73" i="107" s="1"/>
  <c r="L56" i="104"/>
  <c r="P8" i="107"/>
  <c r="Q61" i="107"/>
  <c r="W61" i="105" s="1"/>
  <c r="Q58" i="107"/>
  <c r="W58" i="105" s="1"/>
  <c r="P11" i="107"/>
  <c r="P7" i="107"/>
  <c r="I63" i="104"/>
  <c r="E63" i="104"/>
  <c r="H63" i="104"/>
  <c r="Q28" i="107"/>
  <c r="W28" i="105" s="1"/>
  <c r="Q24" i="107"/>
  <c r="W24" i="105" s="1"/>
  <c r="Q20" i="107"/>
  <c r="W20" i="105" s="1"/>
  <c r="Q16" i="107"/>
  <c r="W16" i="105" s="1"/>
  <c r="Q12" i="107"/>
  <c r="W12" i="105" s="1"/>
  <c r="Q8" i="107"/>
  <c r="W8" i="105" s="1"/>
  <c r="G63" i="104"/>
  <c r="W59" i="105"/>
  <c r="W51" i="105"/>
  <c r="W43" i="105"/>
  <c r="W35" i="105"/>
  <c r="L62" i="104"/>
  <c r="R62" i="104" s="1"/>
  <c r="J63" i="104"/>
  <c r="F63" i="104"/>
  <c r="L60" i="104"/>
  <c r="N33" i="103"/>
  <c r="Q53" i="107"/>
  <c r="W53" i="105" s="1"/>
  <c r="Q49" i="107"/>
  <c r="W49" i="105" s="1"/>
  <c r="Q45" i="107"/>
  <c r="W45" i="105" s="1"/>
  <c r="Q41" i="107"/>
  <c r="W41" i="105" s="1"/>
  <c r="Q37" i="107"/>
  <c r="W37" i="105" s="1"/>
  <c r="D63" i="104"/>
  <c r="L33" i="104"/>
  <c r="R33" i="104" s="1"/>
  <c r="W25" i="105"/>
  <c r="W17" i="105"/>
  <c r="W9" i="105"/>
  <c r="W31" i="105"/>
  <c r="W27" i="105"/>
  <c r="W23" i="105"/>
  <c r="W19" i="105"/>
  <c r="W15" i="105"/>
  <c r="W11" i="105"/>
  <c r="W34" i="105"/>
  <c r="W7" i="105"/>
  <c r="I44" i="7"/>
  <c r="J44" i="7"/>
  <c r="D67" i="107" l="1"/>
  <c r="D27" i="110"/>
  <c r="C13" i="110"/>
  <c r="I13" i="109"/>
  <c r="H13" i="109"/>
  <c r="P7" i="108"/>
  <c r="P8" i="108"/>
  <c r="P9" i="108"/>
  <c r="P10" i="108"/>
  <c r="P11" i="108"/>
  <c r="P12" i="108"/>
  <c r="P13" i="108"/>
  <c r="P14" i="108"/>
  <c r="P15" i="108"/>
  <c r="P16" i="108"/>
  <c r="P17" i="108"/>
  <c r="P18" i="108"/>
  <c r="P19" i="108"/>
  <c r="P20" i="108"/>
  <c r="P21" i="108"/>
  <c r="P22" i="108"/>
  <c r="P23" i="108"/>
  <c r="P24" i="108"/>
  <c r="P25" i="108"/>
  <c r="P26" i="108"/>
  <c r="P27" i="108"/>
  <c r="P28" i="108"/>
  <c r="P29" i="108"/>
  <c r="P30" i="108"/>
  <c r="P31" i="108"/>
  <c r="P32" i="108"/>
  <c r="P34" i="108"/>
  <c r="P35" i="108"/>
  <c r="P36" i="108"/>
  <c r="P37" i="108"/>
  <c r="P38" i="108"/>
  <c r="P39" i="108"/>
  <c r="P40" i="108"/>
  <c r="P41" i="108"/>
  <c r="P42" i="108"/>
  <c r="P43" i="108"/>
  <c r="P44" i="108"/>
  <c r="P45" i="108"/>
  <c r="P46" i="108"/>
  <c r="P47" i="108"/>
  <c r="P48" i="108"/>
  <c r="P49" i="108"/>
  <c r="P50" i="108"/>
  <c r="P51" i="108"/>
  <c r="P52" i="108"/>
  <c r="P53" i="108"/>
  <c r="P54" i="108"/>
  <c r="P55" i="108"/>
  <c r="P57" i="108"/>
  <c r="P58" i="108"/>
  <c r="P59" i="108"/>
  <c r="P61" i="108"/>
  <c r="O7" i="108"/>
  <c r="O8" i="108"/>
  <c r="O9" i="108"/>
  <c r="O10" i="108"/>
  <c r="O11" i="108"/>
  <c r="O12" i="108"/>
  <c r="O13" i="108"/>
  <c r="O14" i="108"/>
  <c r="O15" i="108"/>
  <c r="O16" i="108"/>
  <c r="O17" i="108"/>
  <c r="O18" i="108"/>
  <c r="O19" i="108"/>
  <c r="O20" i="108"/>
  <c r="O21" i="108"/>
  <c r="O22" i="108"/>
  <c r="O23" i="108"/>
  <c r="O24" i="108"/>
  <c r="O25" i="108"/>
  <c r="O26" i="108"/>
  <c r="O27" i="108"/>
  <c r="O28" i="108"/>
  <c r="O29" i="108"/>
  <c r="O30" i="108"/>
  <c r="O31" i="108"/>
  <c r="O32" i="108"/>
  <c r="O34" i="108"/>
  <c r="O35" i="108"/>
  <c r="O36" i="108"/>
  <c r="O37" i="108"/>
  <c r="O38" i="108"/>
  <c r="O39" i="108"/>
  <c r="O40" i="108"/>
  <c r="O41" i="108"/>
  <c r="O42" i="108"/>
  <c r="O43" i="108"/>
  <c r="O44" i="108"/>
  <c r="O45" i="108"/>
  <c r="O46" i="108"/>
  <c r="O47" i="108"/>
  <c r="O48" i="108"/>
  <c r="O49" i="108"/>
  <c r="O50" i="108"/>
  <c r="O51" i="108"/>
  <c r="O52" i="108"/>
  <c r="O53" i="108"/>
  <c r="O54" i="108"/>
  <c r="O55" i="108"/>
  <c r="O57" i="108"/>
  <c r="O58" i="108"/>
  <c r="O59" i="108"/>
  <c r="O61" i="108"/>
  <c r="K7" i="105"/>
  <c r="U7" i="105" s="1"/>
  <c r="L7" i="105"/>
  <c r="V7" i="105" s="1"/>
  <c r="X7" i="105" s="1"/>
  <c r="K8" i="105"/>
  <c r="U8" i="105" s="1"/>
  <c r="L8" i="105"/>
  <c r="V8" i="105" s="1"/>
  <c r="X8" i="105" s="1"/>
  <c r="K9" i="105"/>
  <c r="U9" i="105" s="1"/>
  <c r="L9" i="105"/>
  <c r="V9" i="105" s="1"/>
  <c r="X9" i="105" s="1"/>
  <c r="K10" i="105"/>
  <c r="U10" i="105" s="1"/>
  <c r="L10" i="105"/>
  <c r="V10" i="105" s="1"/>
  <c r="X10" i="105" s="1"/>
  <c r="K11" i="105"/>
  <c r="U11" i="105" s="1"/>
  <c r="L11" i="105"/>
  <c r="V11" i="105" s="1"/>
  <c r="X11" i="105" s="1"/>
  <c r="K12" i="105"/>
  <c r="U12" i="105" s="1"/>
  <c r="L12" i="105"/>
  <c r="K13" i="105"/>
  <c r="U13" i="105" s="1"/>
  <c r="L13" i="105"/>
  <c r="V13" i="105" s="1"/>
  <c r="X13" i="105" s="1"/>
  <c r="K14" i="105"/>
  <c r="U14" i="105" s="1"/>
  <c r="L14" i="105"/>
  <c r="V14" i="105" s="1"/>
  <c r="X14" i="105" s="1"/>
  <c r="K15" i="105"/>
  <c r="U15" i="105" s="1"/>
  <c r="L15" i="105"/>
  <c r="V15" i="105" s="1"/>
  <c r="X15" i="105" s="1"/>
  <c r="K16" i="105"/>
  <c r="U16" i="105" s="1"/>
  <c r="L16" i="105"/>
  <c r="V16" i="105" s="1"/>
  <c r="X16" i="105" s="1"/>
  <c r="K17" i="105"/>
  <c r="U17" i="105" s="1"/>
  <c r="L17" i="105"/>
  <c r="V17" i="105" s="1"/>
  <c r="X17" i="105" s="1"/>
  <c r="K18" i="105"/>
  <c r="U18" i="105" s="1"/>
  <c r="L18" i="105"/>
  <c r="K19" i="105"/>
  <c r="U19" i="105" s="1"/>
  <c r="L19" i="105"/>
  <c r="V19" i="105" s="1"/>
  <c r="X19" i="105" s="1"/>
  <c r="K20" i="105"/>
  <c r="U20" i="105" s="1"/>
  <c r="L20" i="105"/>
  <c r="V20" i="105" s="1"/>
  <c r="X20" i="105" s="1"/>
  <c r="K21" i="105"/>
  <c r="U21" i="105" s="1"/>
  <c r="L21" i="105"/>
  <c r="V21" i="105" s="1"/>
  <c r="X21" i="105" s="1"/>
  <c r="K22" i="105"/>
  <c r="U22" i="105" s="1"/>
  <c r="L22" i="105"/>
  <c r="K23" i="105"/>
  <c r="U23" i="105" s="1"/>
  <c r="L23" i="105"/>
  <c r="V23" i="105" s="1"/>
  <c r="X23" i="105" s="1"/>
  <c r="K24" i="105"/>
  <c r="U24" i="105" s="1"/>
  <c r="L24" i="105"/>
  <c r="K25" i="105"/>
  <c r="U25" i="105" s="1"/>
  <c r="L25" i="105"/>
  <c r="V25" i="105" s="1"/>
  <c r="X25" i="105" s="1"/>
  <c r="K26" i="105"/>
  <c r="U26" i="105" s="1"/>
  <c r="L26" i="105"/>
  <c r="V26" i="105" s="1"/>
  <c r="X26" i="105" s="1"/>
  <c r="K27" i="105"/>
  <c r="U27" i="105" s="1"/>
  <c r="L27" i="105"/>
  <c r="K28" i="105"/>
  <c r="U28" i="105" s="1"/>
  <c r="L28" i="105"/>
  <c r="K29" i="105"/>
  <c r="U29" i="105" s="1"/>
  <c r="L29" i="105"/>
  <c r="V29" i="105" s="1"/>
  <c r="X29" i="105" s="1"/>
  <c r="K30" i="105"/>
  <c r="U30" i="105" s="1"/>
  <c r="L30" i="105"/>
  <c r="V30" i="105" s="1"/>
  <c r="X30" i="105" s="1"/>
  <c r="K31" i="105"/>
  <c r="U31" i="105" s="1"/>
  <c r="L31" i="105"/>
  <c r="V31" i="105" s="1"/>
  <c r="X31" i="105" s="1"/>
  <c r="K32" i="105"/>
  <c r="U32" i="105" s="1"/>
  <c r="L32" i="105"/>
  <c r="V32" i="105" s="1"/>
  <c r="K34" i="105"/>
  <c r="U34" i="105" s="1"/>
  <c r="L34" i="105"/>
  <c r="V34" i="105" s="1"/>
  <c r="X34" i="105" s="1"/>
  <c r="K35" i="105"/>
  <c r="U35" i="105" s="1"/>
  <c r="L35" i="105"/>
  <c r="K36" i="105"/>
  <c r="U36" i="105" s="1"/>
  <c r="L36" i="105"/>
  <c r="V36" i="105" s="1"/>
  <c r="X36" i="105" s="1"/>
  <c r="K37" i="105"/>
  <c r="U37" i="105" s="1"/>
  <c r="L37" i="105"/>
  <c r="V37" i="105" s="1"/>
  <c r="X37" i="105" s="1"/>
  <c r="K38" i="105"/>
  <c r="U38" i="105" s="1"/>
  <c r="L38" i="105"/>
  <c r="V38" i="105" s="1"/>
  <c r="X38" i="105" s="1"/>
  <c r="K39" i="105"/>
  <c r="U39" i="105" s="1"/>
  <c r="L39" i="105"/>
  <c r="V39" i="105" s="1"/>
  <c r="X39" i="105" s="1"/>
  <c r="K40" i="105"/>
  <c r="U40" i="105" s="1"/>
  <c r="L40" i="105"/>
  <c r="V40" i="105" s="1"/>
  <c r="X40" i="105" s="1"/>
  <c r="K41" i="105"/>
  <c r="U41" i="105" s="1"/>
  <c r="L41" i="105"/>
  <c r="V41" i="105" s="1"/>
  <c r="X41" i="105" s="1"/>
  <c r="K42" i="105"/>
  <c r="U42" i="105" s="1"/>
  <c r="L42" i="105"/>
  <c r="K43" i="105"/>
  <c r="U43" i="105" s="1"/>
  <c r="L43" i="105"/>
  <c r="V43" i="105" s="1"/>
  <c r="X43" i="105" s="1"/>
  <c r="K44" i="105"/>
  <c r="U44" i="105" s="1"/>
  <c r="L44" i="105"/>
  <c r="V44" i="105" s="1"/>
  <c r="X44" i="105" s="1"/>
  <c r="K45" i="105"/>
  <c r="U45" i="105" s="1"/>
  <c r="L45" i="105"/>
  <c r="V45" i="105" s="1"/>
  <c r="X45" i="105" s="1"/>
  <c r="K46" i="105"/>
  <c r="U46" i="105" s="1"/>
  <c r="L46" i="105"/>
  <c r="V46" i="105" s="1"/>
  <c r="X46" i="105" s="1"/>
  <c r="K47" i="105"/>
  <c r="U47" i="105" s="1"/>
  <c r="L47" i="105"/>
  <c r="V47" i="105" s="1"/>
  <c r="X47" i="105" s="1"/>
  <c r="K48" i="105"/>
  <c r="U48" i="105" s="1"/>
  <c r="L48" i="105"/>
  <c r="V48" i="105" s="1"/>
  <c r="X48" i="105" s="1"/>
  <c r="K49" i="105"/>
  <c r="U49" i="105" s="1"/>
  <c r="L49" i="105"/>
  <c r="V49" i="105" s="1"/>
  <c r="X49" i="105" s="1"/>
  <c r="K50" i="105"/>
  <c r="U50" i="105" s="1"/>
  <c r="L50" i="105"/>
  <c r="K51" i="105"/>
  <c r="U51" i="105" s="1"/>
  <c r="L51" i="105"/>
  <c r="V51" i="105" s="1"/>
  <c r="X51" i="105" s="1"/>
  <c r="K52" i="105"/>
  <c r="U52" i="105" s="1"/>
  <c r="L52" i="105"/>
  <c r="V52" i="105" s="1"/>
  <c r="K53" i="105"/>
  <c r="U53" i="105" s="1"/>
  <c r="L53" i="105"/>
  <c r="V53" i="105" s="1"/>
  <c r="X53" i="105" s="1"/>
  <c r="K54" i="105"/>
  <c r="U54" i="105" s="1"/>
  <c r="L54" i="105"/>
  <c r="V54" i="105" s="1"/>
  <c r="X54" i="105" s="1"/>
  <c r="K55" i="105"/>
  <c r="U55" i="105" s="1"/>
  <c r="L55" i="105"/>
  <c r="V55" i="105" s="1"/>
  <c r="X55" i="105" s="1"/>
  <c r="K57" i="105"/>
  <c r="U57" i="105" s="1"/>
  <c r="L57" i="105"/>
  <c r="V57" i="105" s="1"/>
  <c r="K58" i="105"/>
  <c r="U58" i="105" s="1"/>
  <c r="L58" i="105"/>
  <c r="V58" i="105" s="1"/>
  <c r="X58" i="105" s="1"/>
  <c r="K59" i="105"/>
  <c r="U59" i="105" s="1"/>
  <c r="L59" i="105"/>
  <c r="K61" i="105"/>
  <c r="U61" i="105" s="1"/>
  <c r="L61" i="105"/>
  <c r="V61" i="105" s="1"/>
  <c r="X61" i="105" s="1"/>
  <c r="L6" i="105"/>
  <c r="L33" i="105" s="1"/>
  <c r="K6" i="105"/>
  <c r="K33" i="105" l="1"/>
  <c r="K56" i="105"/>
  <c r="K62" i="105"/>
  <c r="L60" i="105"/>
  <c r="K60" i="105"/>
  <c r="V22" i="105"/>
  <c r="X22" i="105" s="1"/>
  <c r="L56" i="105"/>
  <c r="L62" i="105"/>
  <c r="L63" i="105" s="1"/>
  <c r="M7" i="110"/>
  <c r="M8" i="110"/>
  <c r="M9" i="110"/>
  <c r="M10" i="110"/>
  <c r="M11" i="110"/>
  <c r="M12" i="110"/>
  <c r="M13" i="110"/>
  <c r="P7" i="93"/>
  <c r="R7" i="109" s="1"/>
  <c r="P8" i="93"/>
  <c r="R8" i="109" s="1"/>
  <c r="P9" i="93"/>
  <c r="R9" i="109" s="1"/>
  <c r="P10" i="93"/>
  <c r="R10" i="109" s="1"/>
  <c r="P11" i="93"/>
  <c r="R11" i="109" s="1"/>
  <c r="P12" i="93"/>
  <c r="R12" i="109" s="1"/>
  <c r="P13" i="93"/>
  <c r="R13" i="109" s="1"/>
  <c r="P14" i="93"/>
  <c r="R14" i="109" s="1"/>
  <c r="P15" i="93"/>
  <c r="P16" i="93"/>
  <c r="R16" i="109" s="1"/>
  <c r="P17" i="93"/>
  <c r="R17" i="109" s="1"/>
  <c r="P18" i="93"/>
  <c r="R18" i="109" s="1"/>
  <c r="P19" i="93"/>
  <c r="R19" i="109" s="1"/>
  <c r="P20" i="93"/>
  <c r="R20" i="109" s="1"/>
  <c r="P21" i="93"/>
  <c r="R21" i="109" s="1"/>
  <c r="P22" i="93"/>
  <c r="R22" i="109" s="1"/>
  <c r="P23" i="93"/>
  <c r="R23" i="109" s="1"/>
  <c r="P24" i="93"/>
  <c r="R24" i="109" s="1"/>
  <c r="P25" i="93"/>
  <c r="R25" i="109" s="1"/>
  <c r="P26" i="93"/>
  <c r="R26" i="109" s="1"/>
  <c r="P27" i="93"/>
  <c r="R27" i="109" s="1"/>
  <c r="P28" i="93"/>
  <c r="R28" i="109" s="1"/>
  <c r="P29" i="93"/>
  <c r="R29" i="109" s="1"/>
  <c r="P30" i="93"/>
  <c r="R30" i="109" s="1"/>
  <c r="P31" i="93"/>
  <c r="R31" i="109" s="1"/>
  <c r="P35" i="93"/>
  <c r="R35" i="109" s="1"/>
  <c r="O35" i="93"/>
  <c r="Q35" i="109" s="1"/>
  <c r="P46" i="93"/>
  <c r="R46" i="109" s="1"/>
  <c r="P47" i="93"/>
  <c r="R47" i="109" s="1"/>
  <c r="P48" i="93"/>
  <c r="R48" i="109" s="1"/>
  <c r="P49" i="93"/>
  <c r="R49" i="109" s="1"/>
  <c r="P50" i="93"/>
  <c r="R50" i="109" s="1"/>
  <c r="P51" i="93"/>
  <c r="R51" i="109" s="1"/>
  <c r="P52" i="93"/>
  <c r="R52" i="109" s="1"/>
  <c r="O46" i="93"/>
  <c r="Q46" i="109" s="1"/>
  <c r="O47" i="93"/>
  <c r="Q47" i="109" s="1"/>
  <c r="O48" i="93"/>
  <c r="Q48" i="109" s="1"/>
  <c r="O49" i="93"/>
  <c r="Q49" i="109" s="1"/>
  <c r="O50" i="93"/>
  <c r="Q50" i="109" s="1"/>
  <c r="O51" i="93"/>
  <c r="Q51" i="109" s="1"/>
  <c r="O52" i="93"/>
  <c r="Q52" i="109" s="1"/>
  <c r="R15" i="109" l="1"/>
  <c r="K63" i="105"/>
  <c r="V12" i="105" l="1"/>
  <c r="X12" i="105" s="1"/>
  <c r="E61" i="106" l="1"/>
  <c r="F61" i="106"/>
  <c r="P13" i="111" l="1"/>
  <c r="P57" i="111"/>
  <c r="P59" i="111"/>
  <c r="P61" i="111"/>
  <c r="O13" i="111"/>
  <c r="O57" i="111"/>
  <c r="O59" i="111"/>
  <c r="O61" i="111"/>
  <c r="D62" i="111"/>
  <c r="E62" i="111"/>
  <c r="F62" i="111"/>
  <c r="G62" i="111"/>
  <c r="H62" i="111"/>
  <c r="I62" i="111"/>
  <c r="J62" i="111"/>
  <c r="K62" i="111"/>
  <c r="L62" i="111"/>
  <c r="M62" i="111"/>
  <c r="N62" i="111"/>
  <c r="Q62" i="111"/>
  <c r="R62" i="111"/>
  <c r="C62" i="111"/>
  <c r="D60" i="111"/>
  <c r="E60" i="111"/>
  <c r="F60" i="111"/>
  <c r="G60" i="111"/>
  <c r="H60" i="111"/>
  <c r="I60" i="111"/>
  <c r="J60" i="111"/>
  <c r="K60" i="111"/>
  <c r="L60" i="111"/>
  <c r="M60" i="111"/>
  <c r="N60" i="111"/>
  <c r="Q60" i="111"/>
  <c r="R60" i="111"/>
  <c r="C60" i="111"/>
  <c r="C56" i="111"/>
  <c r="D33" i="111"/>
  <c r="E33" i="111"/>
  <c r="F33" i="111"/>
  <c r="G33" i="111"/>
  <c r="H33" i="111"/>
  <c r="I33" i="111"/>
  <c r="J33" i="111"/>
  <c r="K33" i="111"/>
  <c r="L33" i="111"/>
  <c r="M33" i="111"/>
  <c r="N33" i="111"/>
  <c r="Q33" i="111"/>
  <c r="R33" i="111"/>
  <c r="C33" i="111"/>
  <c r="O34" i="115"/>
  <c r="P34" i="115"/>
  <c r="O35" i="115"/>
  <c r="P35" i="115"/>
  <c r="O36" i="115"/>
  <c r="P36" i="115"/>
  <c r="O37" i="115"/>
  <c r="P37" i="115"/>
  <c r="O38" i="115"/>
  <c r="P38" i="115"/>
  <c r="O39" i="115"/>
  <c r="P39" i="115"/>
  <c r="O40" i="115"/>
  <c r="P40" i="115"/>
  <c r="O41" i="115"/>
  <c r="P41" i="115"/>
  <c r="O42" i="115"/>
  <c r="P42" i="115"/>
  <c r="O43" i="115"/>
  <c r="P43" i="115"/>
  <c r="O44" i="115"/>
  <c r="P44" i="115"/>
  <c r="O45" i="115"/>
  <c r="P45" i="115"/>
  <c r="O46" i="115"/>
  <c r="P46" i="115"/>
  <c r="O47" i="115"/>
  <c r="P47" i="115"/>
  <c r="O48" i="115"/>
  <c r="P48" i="115"/>
  <c r="O49" i="115"/>
  <c r="P49" i="115"/>
  <c r="O50" i="115"/>
  <c r="P50" i="115"/>
  <c r="O51" i="115"/>
  <c r="P51" i="115"/>
  <c r="O52" i="115"/>
  <c r="P52" i="115"/>
  <c r="O53" i="115"/>
  <c r="P53" i="115"/>
  <c r="O54" i="115"/>
  <c r="P54" i="115"/>
  <c r="O55" i="115"/>
  <c r="P55" i="115"/>
  <c r="O57" i="115"/>
  <c r="O60" i="115" s="1"/>
  <c r="P57" i="115"/>
  <c r="O58" i="115"/>
  <c r="P58" i="115"/>
  <c r="O59" i="115"/>
  <c r="P59" i="115"/>
  <c r="O61" i="115"/>
  <c r="O62" i="115" s="1"/>
  <c r="P61" i="115"/>
  <c r="P62" i="115" s="1"/>
  <c r="O7" i="115"/>
  <c r="P7" i="115"/>
  <c r="O8" i="115"/>
  <c r="P8" i="115"/>
  <c r="O9" i="115"/>
  <c r="P9" i="115"/>
  <c r="O10" i="115"/>
  <c r="P10" i="115"/>
  <c r="O11" i="115"/>
  <c r="P11" i="115"/>
  <c r="O12" i="115"/>
  <c r="P12" i="115"/>
  <c r="O13" i="115"/>
  <c r="P13" i="115"/>
  <c r="O14" i="115"/>
  <c r="P14" i="115"/>
  <c r="O15" i="115"/>
  <c r="P15" i="115"/>
  <c r="O16" i="115"/>
  <c r="P16" i="115"/>
  <c r="O17" i="115"/>
  <c r="P17" i="115"/>
  <c r="O18" i="115"/>
  <c r="P18" i="115"/>
  <c r="O19" i="115"/>
  <c r="P19" i="115"/>
  <c r="O20" i="115"/>
  <c r="P20" i="115"/>
  <c r="O21" i="115"/>
  <c r="P21" i="115"/>
  <c r="O22" i="115"/>
  <c r="P22" i="115"/>
  <c r="O23" i="115"/>
  <c r="P23" i="115"/>
  <c r="O24" i="115"/>
  <c r="P24" i="115"/>
  <c r="O25" i="115"/>
  <c r="P25" i="115"/>
  <c r="O26" i="115"/>
  <c r="P26" i="115"/>
  <c r="O27" i="115"/>
  <c r="P27" i="115"/>
  <c r="O28" i="115"/>
  <c r="P28" i="115"/>
  <c r="O29" i="115"/>
  <c r="P29" i="115"/>
  <c r="O30" i="115"/>
  <c r="P30" i="115"/>
  <c r="O31" i="115"/>
  <c r="P31" i="115"/>
  <c r="O32" i="115"/>
  <c r="P32" i="115"/>
  <c r="P6" i="115"/>
  <c r="O6" i="115"/>
  <c r="D62" i="115"/>
  <c r="E62" i="115"/>
  <c r="F62" i="115"/>
  <c r="G62" i="115"/>
  <c r="H62" i="115"/>
  <c r="I62" i="115"/>
  <c r="J62" i="115"/>
  <c r="K62" i="115"/>
  <c r="L62" i="115"/>
  <c r="M62" i="115"/>
  <c r="N62" i="115"/>
  <c r="C62" i="115"/>
  <c r="D60" i="115"/>
  <c r="E60" i="115"/>
  <c r="F60" i="115"/>
  <c r="G60" i="115"/>
  <c r="H60" i="115"/>
  <c r="I60" i="115"/>
  <c r="J60" i="115"/>
  <c r="K60" i="115"/>
  <c r="L60" i="115"/>
  <c r="M60" i="115"/>
  <c r="N60" i="115"/>
  <c r="C60" i="115"/>
  <c r="D56" i="115"/>
  <c r="E56" i="115"/>
  <c r="F56" i="115"/>
  <c r="G56" i="115"/>
  <c r="H56" i="115"/>
  <c r="I56" i="115"/>
  <c r="J56" i="115"/>
  <c r="K56" i="115"/>
  <c r="L56" i="115"/>
  <c r="M56" i="115"/>
  <c r="N56" i="115"/>
  <c r="C56" i="115"/>
  <c r="D33" i="115"/>
  <c r="E33" i="115"/>
  <c r="E63" i="115" s="1"/>
  <c r="F33" i="115"/>
  <c r="G33" i="115"/>
  <c r="G63" i="115" s="1"/>
  <c r="H33" i="115"/>
  <c r="I33" i="115"/>
  <c r="J33" i="115"/>
  <c r="K33" i="115"/>
  <c r="L33" i="115"/>
  <c r="M33" i="115"/>
  <c r="M63" i="115" s="1"/>
  <c r="N33" i="115"/>
  <c r="C33" i="115"/>
  <c r="O7" i="114"/>
  <c r="P7" i="114"/>
  <c r="O8" i="114"/>
  <c r="P8" i="114"/>
  <c r="O9" i="114"/>
  <c r="P9" i="114"/>
  <c r="O10" i="114"/>
  <c r="P10" i="114"/>
  <c r="O11" i="114"/>
  <c r="P11" i="114"/>
  <c r="O12" i="114"/>
  <c r="P12" i="114"/>
  <c r="O13" i="114"/>
  <c r="P13" i="114"/>
  <c r="O14" i="114"/>
  <c r="P14" i="114"/>
  <c r="O15" i="114"/>
  <c r="P15" i="114"/>
  <c r="O16" i="114"/>
  <c r="P16" i="114"/>
  <c r="O17" i="114"/>
  <c r="P17" i="114"/>
  <c r="O18" i="114"/>
  <c r="P18" i="114"/>
  <c r="O19" i="114"/>
  <c r="P19" i="114"/>
  <c r="O20" i="114"/>
  <c r="P20" i="114"/>
  <c r="O21" i="114"/>
  <c r="P21" i="114"/>
  <c r="O22" i="114"/>
  <c r="P22" i="114"/>
  <c r="O23" i="114"/>
  <c r="P23" i="114"/>
  <c r="O24" i="114"/>
  <c r="P24" i="114"/>
  <c r="O25" i="114"/>
  <c r="P25" i="114"/>
  <c r="O26" i="114"/>
  <c r="P26" i="114"/>
  <c r="O27" i="114"/>
  <c r="P27" i="114"/>
  <c r="O28" i="114"/>
  <c r="P28" i="114"/>
  <c r="O29" i="114"/>
  <c r="P29" i="114"/>
  <c r="O30" i="114"/>
  <c r="P30" i="114"/>
  <c r="O31" i="114"/>
  <c r="P31" i="114"/>
  <c r="O32" i="114"/>
  <c r="P32" i="114"/>
  <c r="O34" i="114"/>
  <c r="P34" i="114"/>
  <c r="O35" i="114"/>
  <c r="P35" i="114"/>
  <c r="O36" i="114"/>
  <c r="P36" i="114"/>
  <c r="O37" i="114"/>
  <c r="P37" i="114"/>
  <c r="O38" i="114"/>
  <c r="P38" i="114"/>
  <c r="O39" i="114"/>
  <c r="P39" i="114"/>
  <c r="O40" i="114"/>
  <c r="P40" i="114"/>
  <c r="O41" i="114"/>
  <c r="P41" i="114"/>
  <c r="O42" i="114"/>
  <c r="P42" i="114"/>
  <c r="O43" i="114"/>
  <c r="P43" i="114"/>
  <c r="O44" i="114"/>
  <c r="P44" i="114"/>
  <c r="O45" i="114"/>
  <c r="P45" i="114"/>
  <c r="O46" i="114"/>
  <c r="P46" i="114"/>
  <c r="O47" i="114"/>
  <c r="P47" i="114"/>
  <c r="O48" i="114"/>
  <c r="P48" i="114"/>
  <c r="O49" i="114"/>
  <c r="P49" i="114"/>
  <c r="O50" i="114"/>
  <c r="P50" i="114"/>
  <c r="O51" i="114"/>
  <c r="P51" i="114"/>
  <c r="O52" i="114"/>
  <c r="P52" i="114"/>
  <c r="O53" i="114"/>
  <c r="P53" i="114"/>
  <c r="O54" i="114"/>
  <c r="P54" i="114"/>
  <c r="O55" i="114"/>
  <c r="P55" i="114"/>
  <c r="O57" i="114"/>
  <c r="P57" i="114"/>
  <c r="O58" i="114"/>
  <c r="P58" i="114"/>
  <c r="O59" i="114"/>
  <c r="P59" i="114"/>
  <c r="O61" i="114"/>
  <c r="P61" i="114"/>
  <c r="P6" i="114"/>
  <c r="O6" i="114"/>
  <c r="D62" i="114"/>
  <c r="E62" i="114"/>
  <c r="F62" i="114"/>
  <c r="G62" i="114"/>
  <c r="H62" i="114"/>
  <c r="I62" i="114"/>
  <c r="J62" i="114"/>
  <c r="K62" i="114"/>
  <c r="L62" i="114"/>
  <c r="M62" i="114"/>
  <c r="N62" i="114"/>
  <c r="C62" i="114"/>
  <c r="D60" i="114"/>
  <c r="E60" i="114"/>
  <c r="F60" i="114"/>
  <c r="G60" i="114"/>
  <c r="H60" i="114"/>
  <c r="I60" i="114"/>
  <c r="J60" i="114"/>
  <c r="K60" i="114"/>
  <c r="L60" i="114"/>
  <c r="M60" i="114"/>
  <c r="N60" i="114"/>
  <c r="C60" i="114"/>
  <c r="D56" i="114"/>
  <c r="E56" i="114"/>
  <c r="F56" i="114"/>
  <c r="G56" i="114"/>
  <c r="H56" i="114"/>
  <c r="I56" i="114"/>
  <c r="J56" i="114"/>
  <c r="K56" i="114"/>
  <c r="L56" i="114"/>
  <c r="M56" i="114"/>
  <c r="N56" i="114"/>
  <c r="C56" i="114"/>
  <c r="D33" i="114"/>
  <c r="D63" i="114" s="1"/>
  <c r="E33" i="114"/>
  <c r="E63" i="114" s="1"/>
  <c r="F33" i="114"/>
  <c r="F63" i="114" s="1"/>
  <c r="G33" i="114"/>
  <c r="G63" i="114" s="1"/>
  <c r="H33" i="114"/>
  <c r="H63" i="114" s="1"/>
  <c r="I33" i="114"/>
  <c r="I63" i="114" s="1"/>
  <c r="J33" i="114"/>
  <c r="J63" i="114" s="1"/>
  <c r="K33" i="114"/>
  <c r="K63" i="114" s="1"/>
  <c r="L33" i="114"/>
  <c r="L63" i="114" s="1"/>
  <c r="M33" i="114"/>
  <c r="M63" i="114" s="1"/>
  <c r="N33" i="114"/>
  <c r="N63" i="114" s="1"/>
  <c r="C33" i="114"/>
  <c r="C63" i="114" s="1"/>
  <c r="D62" i="113"/>
  <c r="E62" i="113"/>
  <c r="F62" i="113"/>
  <c r="G62" i="113"/>
  <c r="H62" i="113"/>
  <c r="I62" i="113"/>
  <c r="J62" i="113"/>
  <c r="C62" i="113"/>
  <c r="D60" i="113"/>
  <c r="E60" i="113"/>
  <c r="F60" i="113"/>
  <c r="G60" i="113"/>
  <c r="H60" i="113"/>
  <c r="I60" i="113"/>
  <c r="J60" i="113"/>
  <c r="C60" i="113"/>
  <c r="D56" i="113"/>
  <c r="E56" i="113"/>
  <c r="F56" i="113"/>
  <c r="G56" i="113"/>
  <c r="H56" i="113"/>
  <c r="I56" i="113"/>
  <c r="J56" i="113"/>
  <c r="C56" i="113"/>
  <c r="D33" i="113"/>
  <c r="E33" i="113"/>
  <c r="F33" i="113"/>
  <c r="G33" i="113"/>
  <c r="H33" i="113"/>
  <c r="I33" i="113"/>
  <c r="J33" i="113"/>
  <c r="C33" i="113"/>
  <c r="D62" i="118"/>
  <c r="E62" i="118"/>
  <c r="F62" i="118"/>
  <c r="G62" i="118"/>
  <c r="H62" i="118"/>
  <c r="C62" i="118"/>
  <c r="D60" i="118"/>
  <c r="E60" i="118"/>
  <c r="F60" i="118"/>
  <c r="G60" i="118"/>
  <c r="H60" i="118"/>
  <c r="C60" i="118"/>
  <c r="D33" i="118"/>
  <c r="E33" i="118"/>
  <c r="F33" i="118"/>
  <c r="G33" i="118"/>
  <c r="H33" i="118"/>
  <c r="C33" i="118"/>
  <c r="D60" i="117"/>
  <c r="E60" i="117"/>
  <c r="F60" i="117"/>
  <c r="C60" i="117"/>
  <c r="D56" i="117"/>
  <c r="E56" i="117"/>
  <c r="F56" i="117"/>
  <c r="C56" i="117"/>
  <c r="D33" i="117"/>
  <c r="E33" i="117"/>
  <c r="F33" i="117"/>
  <c r="C33" i="117"/>
  <c r="D62" i="116"/>
  <c r="F62" i="106" s="1"/>
  <c r="E62" i="116"/>
  <c r="F62" i="116"/>
  <c r="C62" i="116"/>
  <c r="D60" i="116"/>
  <c r="F60" i="106" s="1"/>
  <c r="E60" i="116"/>
  <c r="F60" i="116"/>
  <c r="C60" i="116"/>
  <c r="D56" i="116"/>
  <c r="E56" i="116"/>
  <c r="F56" i="116"/>
  <c r="C56" i="116"/>
  <c r="D33" i="116"/>
  <c r="E33" i="116"/>
  <c r="F33" i="116"/>
  <c r="C33" i="116"/>
  <c r="F63" i="117" l="1"/>
  <c r="E63" i="117"/>
  <c r="F63" i="116"/>
  <c r="F56" i="106"/>
  <c r="L63" i="115"/>
  <c r="K63" i="115"/>
  <c r="J63" i="115"/>
  <c r="J68" i="115" s="1"/>
  <c r="I63" i="115"/>
  <c r="H63" i="115"/>
  <c r="D63" i="115"/>
  <c r="C63" i="115"/>
  <c r="N63" i="115"/>
  <c r="F63" i="115"/>
  <c r="F33" i="106"/>
  <c r="C63" i="117"/>
  <c r="D63" i="117"/>
  <c r="P60" i="115"/>
  <c r="O56" i="115"/>
  <c r="P56" i="115"/>
  <c r="E56" i="106"/>
  <c r="P33" i="114"/>
  <c r="P60" i="114"/>
  <c r="J60" i="106" s="1"/>
  <c r="P56" i="114"/>
  <c r="J56" i="106" s="1"/>
  <c r="P62" i="114"/>
  <c r="J62" i="106" s="1"/>
  <c r="C63" i="116"/>
  <c r="E33" i="106"/>
  <c r="E60" i="106"/>
  <c r="E62" i="106"/>
  <c r="E63" i="118"/>
  <c r="O60" i="114"/>
  <c r="I60" i="106" s="1"/>
  <c r="F63" i="118"/>
  <c r="O56" i="114"/>
  <c r="I56" i="106" s="1"/>
  <c r="O62" i="114"/>
  <c r="I62" i="106" s="1"/>
  <c r="O33" i="115"/>
  <c r="O63" i="115" s="1"/>
  <c r="K63" i="111"/>
  <c r="N63" i="111"/>
  <c r="J63" i="111"/>
  <c r="F63" i="111"/>
  <c r="M63" i="111"/>
  <c r="E63" i="111"/>
  <c r="R63" i="111"/>
  <c r="Q63" i="111"/>
  <c r="I63" i="111"/>
  <c r="G63" i="111"/>
  <c r="L63" i="111"/>
  <c r="H63" i="111"/>
  <c r="D63" i="111"/>
  <c r="C63" i="111"/>
  <c r="P33" i="115"/>
  <c r="O33" i="114"/>
  <c r="J63" i="113"/>
  <c r="I63" i="113"/>
  <c r="H63" i="113"/>
  <c r="G63" i="113"/>
  <c r="F63" i="113"/>
  <c r="E63" i="113"/>
  <c r="C63" i="113"/>
  <c r="D63" i="113"/>
  <c r="D63" i="118"/>
  <c r="H63" i="118"/>
  <c r="G63" i="118"/>
  <c r="C63" i="118"/>
  <c r="E63" i="116"/>
  <c r="D63" i="116"/>
  <c r="V21" i="77"/>
  <c r="L21" i="77"/>
  <c r="G21" i="77"/>
  <c r="Q21" i="77"/>
  <c r="V6" i="77"/>
  <c r="Q6" i="77"/>
  <c r="L6" i="77"/>
  <c r="G6" i="77"/>
  <c r="V12" i="77"/>
  <c r="V13" i="77"/>
  <c r="V14" i="77"/>
  <c r="V15" i="77"/>
  <c r="V17" i="77"/>
  <c r="V18" i="77"/>
  <c r="V19" i="77"/>
  <c r="V20" i="77"/>
  <c r="V27" i="77"/>
  <c r="Q13" i="77"/>
  <c r="Q18" i="77"/>
  <c r="Q19" i="77"/>
  <c r="Q27" i="77"/>
  <c r="L12" i="77"/>
  <c r="L13" i="77"/>
  <c r="L14" i="77"/>
  <c r="L15" i="77"/>
  <c r="L16" i="77"/>
  <c r="L17" i="77"/>
  <c r="L18" i="77"/>
  <c r="L19" i="77"/>
  <c r="L20" i="77"/>
  <c r="L27" i="77"/>
  <c r="L28" i="77"/>
  <c r="G12" i="77"/>
  <c r="G13" i="77"/>
  <c r="G14" i="77"/>
  <c r="G15" i="77"/>
  <c r="G16" i="77"/>
  <c r="G17" i="77"/>
  <c r="G19" i="77"/>
  <c r="G20" i="77"/>
  <c r="G22" i="77"/>
  <c r="G24" i="77"/>
  <c r="G27" i="77"/>
  <c r="G28" i="77"/>
  <c r="G29" i="77"/>
  <c r="G30" i="77"/>
  <c r="G31" i="77"/>
  <c r="C56" i="77"/>
  <c r="C33" i="77"/>
  <c r="C63" i="77" s="1"/>
  <c r="F63" i="106" l="1"/>
  <c r="P63" i="115"/>
  <c r="P68" i="115" s="1"/>
  <c r="O63" i="114"/>
  <c r="I63" i="106" s="1"/>
  <c r="I33" i="106"/>
  <c r="E63" i="106"/>
  <c r="P63" i="114"/>
  <c r="J63" i="106" s="1"/>
  <c r="J33" i="106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7" i="15"/>
  <c r="F58" i="15"/>
  <c r="F59" i="15"/>
  <c r="F61" i="15"/>
  <c r="F6" i="15"/>
  <c r="D62" i="85"/>
  <c r="E62" i="85"/>
  <c r="F62" i="85"/>
  <c r="G62" i="85"/>
  <c r="H62" i="85"/>
  <c r="I62" i="85"/>
  <c r="J62" i="85"/>
  <c r="C62" i="85"/>
  <c r="D60" i="85"/>
  <c r="E60" i="85"/>
  <c r="F60" i="85"/>
  <c r="G60" i="85"/>
  <c r="H60" i="85"/>
  <c r="I60" i="85"/>
  <c r="J60" i="85"/>
  <c r="C60" i="85"/>
  <c r="D56" i="85"/>
  <c r="E56" i="85"/>
  <c r="F56" i="85"/>
  <c r="G56" i="85"/>
  <c r="H56" i="85"/>
  <c r="I56" i="85"/>
  <c r="J56" i="85"/>
  <c r="C56" i="85"/>
  <c r="D33" i="85"/>
  <c r="E33" i="85"/>
  <c r="F33" i="85"/>
  <c r="G33" i="85"/>
  <c r="H33" i="85"/>
  <c r="I33" i="85"/>
  <c r="J33" i="85"/>
  <c r="C33" i="85"/>
  <c r="K7" i="85"/>
  <c r="L7" i="85"/>
  <c r="N7" i="85" s="1"/>
  <c r="K8" i="85"/>
  <c r="L8" i="85"/>
  <c r="N8" i="85" s="1"/>
  <c r="K9" i="85"/>
  <c r="L9" i="85"/>
  <c r="N9" i="85" s="1"/>
  <c r="K10" i="85"/>
  <c r="L10" i="85"/>
  <c r="N10" i="85" s="1"/>
  <c r="K11" i="85"/>
  <c r="L11" i="85"/>
  <c r="N11" i="85" s="1"/>
  <c r="K12" i="85"/>
  <c r="L12" i="85"/>
  <c r="N12" i="85" s="1"/>
  <c r="K13" i="85"/>
  <c r="L13" i="85"/>
  <c r="N13" i="85" s="1"/>
  <c r="K14" i="85"/>
  <c r="L14" i="85"/>
  <c r="N14" i="85" s="1"/>
  <c r="K15" i="85"/>
  <c r="L15" i="85"/>
  <c r="N15" i="85" s="1"/>
  <c r="K16" i="85"/>
  <c r="L16" i="85"/>
  <c r="K17" i="85"/>
  <c r="L17" i="85"/>
  <c r="N17" i="85" s="1"/>
  <c r="K18" i="85"/>
  <c r="L18" i="85"/>
  <c r="N18" i="85" s="1"/>
  <c r="K19" i="85"/>
  <c r="L19" i="85"/>
  <c r="N19" i="85" s="1"/>
  <c r="K20" i="85"/>
  <c r="L20" i="85"/>
  <c r="N20" i="85" s="1"/>
  <c r="K21" i="85"/>
  <c r="L21" i="85"/>
  <c r="N21" i="85" s="1"/>
  <c r="K22" i="85"/>
  <c r="L22" i="85"/>
  <c r="N22" i="85" s="1"/>
  <c r="K23" i="85"/>
  <c r="L23" i="85"/>
  <c r="N23" i="85" s="1"/>
  <c r="K24" i="85"/>
  <c r="L24" i="85"/>
  <c r="N24" i="85" s="1"/>
  <c r="K25" i="85"/>
  <c r="L25" i="85"/>
  <c r="N25" i="85" s="1"/>
  <c r="K26" i="85"/>
  <c r="L26" i="85"/>
  <c r="N26" i="85" s="1"/>
  <c r="K27" i="85"/>
  <c r="L27" i="85"/>
  <c r="K28" i="85"/>
  <c r="L28" i="85"/>
  <c r="N28" i="85" s="1"/>
  <c r="K29" i="85"/>
  <c r="L29" i="85"/>
  <c r="N29" i="85" s="1"/>
  <c r="K30" i="85"/>
  <c r="L30" i="85"/>
  <c r="N30" i="85" s="1"/>
  <c r="K31" i="85"/>
  <c r="L31" i="85"/>
  <c r="K32" i="85"/>
  <c r="L32" i="85"/>
  <c r="K34" i="85"/>
  <c r="L34" i="85"/>
  <c r="N34" i="85" s="1"/>
  <c r="K35" i="85"/>
  <c r="L35" i="85"/>
  <c r="N35" i="85" s="1"/>
  <c r="K36" i="85"/>
  <c r="L36" i="85"/>
  <c r="N36" i="85" s="1"/>
  <c r="K37" i="85"/>
  <c r="L37" i="85"/>
  <c r="N37" i="85" s="1"/>
  <c r="K38" i="85"/>
  <c r="L38" i="85"/>
  <c r="N38" i="85" s="1"/>
  <c r="K39" i="85"/>
  <c r="L39" i="85"/>
  <c r="N39" i="85" s="1"/>
  <c r="K40" i="85"/>
  <c r="L40" i="85"/>
  <c r="N40" i="85" s="1"/>
  <c r="K41" i="85"/>
  <c r="L41" i="85"/>
  <c r="N41" i="85" s="1"/>
  <c r="K42" i="85"/>
  <c r="L42" i="85"/>
  <c r="N42" i="85" s="1"/>
  <c r="K43" i="85"/>
  <c r="L43" i="85"/>
  <c r="N43" i="85" s="1"/>
  <c r="K44" i="85"/>
  <c r="L44" i="85"/>
  <c r="N44" i="85" s="1"/>
  <c r="K45" i="85"/>
  <c r="L45" i="85"/>
  <c r="N45" i="85" s="1"/>
  <c r="K46" i="85"/>
  <c r="L46" i="85"/>
  <c r="K47" i="85"/>
  <c r="L47" i="85"/>
  <c r="N47" i="85" s="1"/>
  <c r="K48" i="85"/>
  <c r="L48" i="85"/>
  <c r="N48" i="85" s="1"/>
  <c r="K49" i="85"/>
  <c r="L49" i="85"/>
  <c r="N49" i="85" s="1"/>
  <c r="K50" i="85"/>
  <c r="L50" i="85"/>
  <c r="N50" i="85" s="1"/>
  <c r="K51" i="85"/>
  <c r="L51" i="85"/>
  <c r="N51" i="85" s="1"/>
  <c r="K52" i="85"/>
  <c r="L52" i="85"/>
  <c r="N52" i="85" s="1"/>
  <c r="K53" i="85"/>
  <c r="L53" i="85"/>
  <c r="N53" i="85" s="1"/>
  <c r="K54" i="85"/>
  <c r="L54" i="85"/>
  <c r="N54" i="85" s="1"/>
  <c r="K55" i="85"/>
  <c r="L55" i="85"/>
  <c r="N55" i="85" s="1"/>
  <c r="K57" i="85"/>
  <c r="L57" i="85"/>
  <c r="N57" i="85" s="1"/>
  <c r="K58" i="85"/>
  <c r="L58" i="85"/>
  <c r="N58" i="85" s="1"/>
  <c r="K59" i="85"/>
  <c r="L59" i="85"/>
  <c r="N59" i="85" s="1"/>
  <c r="P59" i="85" s="1"/>
  <c r="K61" i="85"/>
  <c r="L61" i="85"/>
  <c r="L6" i="85"/>
  <c r="K6" i="85"/>
  <c r="L62" i="85" l="1"/>
  <c r="O61" i="85"/>
  <c r="K62" i="85"/>
  <c r="H63" i="85"/>
  <c r="L60" i="85"/>
  <c r="K60" i="85"/>
  <c r="D63" i="85"/>
  <c r="L56" i="85"/>
  <c r="C63" i="85"/>
  <c r="K56" i="85"/>
  <c r="L33" i="85"/>
  <c r="L63" i="85" s="1"/>
  <c r="L67" i="85" s="1"/>
  <c r="J63" i="85"/>
  <c r="J67" i="85" s="1"/>
  <c r="F63" i="85"/>
  <c r="K33" i="85"/>
  <c r="K63" i="85" s="1"/>
  <c r="G63" i="85"/>
  <c r="I63" i="85"/>
  <c r="E63" i="85"/>
  <c r="D62" i="78"/>
  <c r="E62" i="78"/>
  <c r="F62" i="78"/>
  <c r="G62" i="78"/>
  <c r="H62" i="78"/>
  <c r="I62" i="78"/>
  <c r="J62" i="78"/>
  <c r="K62" i="78"/>
  <c r="L62" i="78"/>
  <c r="C62" i="78"/>
  <c r="D60" i="78"/>
  <c r="E60" i="78"/>
  <c r="F60" i="78"/>
  <c r="F63" i="78" s="1"/>
  <c r="G60" i="78"/>
  <c r="H60" i="78"/>
  <c r="I60" i="78"/>
  <c r="J60" i="78"/>
  <c r="J63" i="78" s="1"/>
  <c r="K60" i="78"/>
  <c r="K63" i="78" s="1"/>
  <c r="L60" i="78"/>
  <c r="C60" i="78"/>
  <c r="D56" i="78"/>
  <c r="E56" i="78"/>
  <c r="F56" i="78"/>
  <c r="G56" i="78"/>
  <c r="H56" i="78"/>
  <c r="I56" i="78"/>
  <c r="J56" i="78"/>
  <c r="K56" i="78"/>
  <c r="L56" i="78"/>
  <c r="C56" i="78"/>
  <c r="M7" i="78"/>
  <c r="N7" i="78"/>
  <c r="G7" i="15" s="1"/>
  <c r="M8" i="78"/>
  <c r="N8" i="78"/>
  <c r="G8" i="15" s="1"/>
  <c r="M9" i="78"/>
  <c r="N9" i="78"/>
  <c r="G9" i="15" s="1"/>
  <c r="M10" i="78"/>
  <c r="N10" i="78"/>
  <c r="G10" i="15" s="1"/>
  <c r="M11" i="78"/>
  <c r="N11" i="78"/>
  <c r="G11" i="15" s="1"/>
  <c r="M12" i="78"/>
  <c r="N12" i="78"/>
  <c r="G12" i="15" s="1"/>
  <c r="M13" i="78"/>
  <c r="N13" i="78"/>
  <c r="G13" i="15" s="1"/>
  <c r="M14" i="78"/>
  <c r="N14" i="78"/>
  <c r="G14" i="15" s="1"/>
  <c r="M15" i="78"/>
  <c r="N15" i="78"/>
  <c r="G15" i="15" s="1"/>
  <c r="M16" i="78"/>
  <c r="N16" i="78"/>
  <c r="M17" i="78"/>
  <c r="N17" i="78"/>
  <c r="G17" i="15" s="1"/>
  <c r="M18" i="78"/>
  <c r="N18" i="78"/>
  <c r="G18" i="15" s="1"/>
  <c r="M19" i="78"/>
  <c r="N19" i="78"/>
  <c r="G19" i="15" s="1"/>
  <c r="M20" i="78"/>
  <c r="N20" i="78"/>
  <c r="G20" i="15" s="1"/>
  <c r="M21" i="78"/>
  <c r="N21" i="78"/>
  <c r="G21" i="15" s="1"/>
  <c r="M22" i="78"/>
  <c r="N22" i="78"/>
  <c r="G22" i="15" s="1"/>
  <c r="M23" i="78"/>
  <c r="N23" i="78"/>
  <c r="G23" i="15" s="1"/>
  <c r="M24" i="78"/>
  <c r="N24" i="78"/>
  <c r="G24" i="15" s="1"/>
  <c r="M25" i="78"/>
  <c r="N25" i="78"/>
  <c r="G25" i="15" s="1"/>
  <c r="M26" i="78"/>
  <c r="N26" i="78"/>
  <c r="G26" i="15" s="1"/>
  <c r="M27" i="78"/>
  <c r="N27" i="78"/>
  <c r="M28" i="78"/>
  <c r="N28" i="78"/>
  <c r="G28" i="15" s="1"/>
  <c r="M29" i="78"/>
  <c r="N29" i="78"/>
  <c r="G29" i="15" s="1"/>
  <c r="M30" i="78"/>
  <c r="N30" i="78"/>
  <c r="G30" i="15" s="1"/>
  <c r="M31" i="78"/>
  <c r="N31" i="78"/>
  <c r="G31" i="15" s="1"/>
  <c r="M32" i="78"/>
  <c r="N32" i="78"/>
  <c r="G32" i="15" s="1"/>
  <c r="M34" i="78"/>
  <c r="N34" i="78"/>
  <c r="G34" i="15" s="1"/>
  <c r="M35" i="78"/>
  <c r="N35" i="78"/>
  <c r="G35" i="15" s="1"/>
  <c r="M36" i="78"/>
  <c r="N36" i="78"/>
  <c r="G36" i="15" s="1"/>
  <c r="M37" i="78"/>
  <c r="N37" i="78"/>
  <c r="G37" i="15" s="1"/>
  <c r="M38" i="78"/>
  <c r="N38" i="78"/>
  <c r="G38" i="15" s="1"/>
  <c r="M39" i="78"/>
  <c r="N39" i="78"/>
  <c r="G39" i="15" s="1"/>
  <c r="M40" i="78"/>
  <c r="N40" i="78"/>
  <c r="G40" i="15" s="1"/>
  <c r="M41" i="78"/>
  <c r="N41" i="78"/>
  <c r="G41" i="15" s="1"/>
  <c r="M42" i="78"/>
  <c r="N42" i="78"/>
  <c r="G42" i="15" s="1"/>
  <c r="M43" i="78"/>
  <c r="N43" i="78"/>
  <c r="G43" i="15" s="1"/>
  <c r="M44" i="78"/>
  <c r="N44" i="78"/>
  <c r="G44" i="15" s="1"/>
  <c r="M45" i="78"/>
  <c r="N45" i="78"/>
  <c r="G45" i="15" s="1"/>
  <c r="M46" i="78"/>
  <c r="N46" i="78"/>
  <c r="M47" i="78"/>
  <c r="N47" i="78"/>
  <c r="G47" i="15" s="1"/>
  <c r="M48" i="78"/>
  <c r="N48" i="78"/>
  <c r="G48" i="15" s="1"/>
  <c r="M49" i="78"/>
  <c r="N49" i="78"/>
  <c r="G49" i="15" s="1"/>
  <c r="M50" i="78"/>
  <c r="N50" i="78"/>
  <c r="G50" i="15" s="1"/>
  <c r="M51" i="78"/>
  <c r="N51" i="78"/>
  <c r="G51" i="15" s="1"/>
  <c r="M52" i="78"/>
  <c r="N52" i="78"/>
  <c r="G52" i="15" s="1"/>
  <c r="M53" i="78"/>
  <c r="N53" i="78"/>
  <c r="G53" i="15" s="1"/>
  <c r="M54" i="78"/>
  <c r="N54" i="78"/>
  <c r="G54" i="15" s="1"/>
  <c r="M55" i="78"/>
  <c r="N55" i="78"/>
  <c r="M57" i="78"/>
  <c r="N57" i="78"/>
  <c r="G57" i="15" s="1"/>
  <c r="M58" i="78"/>
  <c r="N58" i="78"/>
  <c r="G58" i="15" s="1"/>
  <c r="M59" i="78"/>
  <c r="N59" i="78"/>
  <c r="G59" i="15" s="1"/>
  <c r="M61" i="78"/>
  <c r="N61" i="78"/>
  <c r="N6" i="78"/>
  <c r="G6" i="15" s="1"/>
  <c r="M6" i="78"/>
  <c r="W9" i="110"/>
  <c r="W10" i="110"/>
  <c r="W12" i="110"/>
  <c r="W13" i="110"/>
  <c r="W7" i="110"/>
  <c r="N7" i="110"/>
  <c r="X7" i="110" s="1"/>
  <c r="Y7" i="110" s="1"/>
  <c r="W8" i="110"/>
  <c r="N8" i="110"/>
  <c r="X8" i="110" s="1"/>
  <c r="Y8" i="110" s="1"/>
  <c r="N9" i="110"/>
  <c r="X9" i="110" s="1"/>
  <c r="Y9" i="110" s="1"/>
  <c r="N10" i="110"/>
  <c r="X10" i="110" s="1"/>
  <c r="W11" i="110"/>
  <c r="N11" i="110"/>
  <c r="X11" i="110" s="1"/>
  <c r="Y11" i="110" s="1"/>
  <c r="N12" i="110"/>
  <c r="X12" i="110" s="1"/>
  <c r="Y12" i="110" s="1"/>
  <c r="N13" i="110"/>
  <c r="X13" i="110" s="1"/>
  <c r="Y13" i="110" s="1"/>
  <c r="M14" i="110"/>
  <c r="W14" i="110" s="1"/>
  <c r="N14" i="110"/>
  <c r="X14" i="110" s="1"/>
  <c r="Y14" i="110" s="1"/>
  <c r="M15" i="110"/>
  <c r="W15" i="110" s="1"/>
  <c r="N15" i="110"/>
  <c r="X15" i="110" s="1"/>
  <c r="Y15" i="110" s="1"/>
  <c r="M16" i="110"/>
  <c r="W16" i="110" s="1"/>
  <c r="N16" i="110"/>
  <c r="X16" i="110" s="1"/>
  <c r="Y16" i="110" s="1"/>
  <c r="M17" i="110"/>
  <c r="W17" i="110" s="1"/>
  <c r="N17" i="110"/>
  <c r="X17" i="110" s="1"/>
  <c r="Y17" i="110" s="1"/>
  <c r="M18" i="110"/>
  <c r="W18" i="110" s="1"/>
  <c r="N18" i="110"/>
  <c r="X18" i="110" s="1"/>
  <c r="Y18" i="110" s="1"/>
  <c r="M19" i="110"/>
  <c r="W19" i="110" s="1"/>
  <c r="N19" i="110"/>
  <c r="X19" i="110" s="1"/>
  <c r="Y19" i="110" s="1"/>
  <c r="M20" i="110"/>
  <c r="W20" i="110" s="1"/>
  <c r="N20" i="110"/>
  <c r="X20" i="110" s="1"/>
  <c r="Y20" i="110" s="1"/>
  <c r="M21" i="110"/>
  <c r="W21" i="110" s="1"/>
  <c r="N21" i="110"/>
  <c r="X21" i="110" s="1"/>
  <c r="Y21" i="110" s="1"/>
  <c r="M22" i="110"/>
  <c r="W22" i="110" s="1"/>
  <c r="N22" i="110"/>
  <c r="X22" i="110" s="1"/>
  <c r="Y22" i="110" s="1"/>
  <c r="M23" i="110"/>
  <c r="W23" i="110" s="1"/>
  <c r="N23" i="110"/>
  <c r="X23" i="110" s="1"/>
  <c r="Y23" i="110" s="1"/>
  <c r="M24" i="110"/>
  <c r="W24" i="110" s="1"/>
  <c r="N24" i="110"/>
  <c r="X24" i="110" s="1"/>
  <c r="Y24" i="110" s="1"/>
  <c r="M25" i="110"/>
  <c r="W25" i="110" s="1"/>
  <c r="N25" i="110"/>
  <c r="X25" i="110" s="1"/>
  <c r="Y25" i="110" s="1"/>
  <c r="M26" i="110"/>
  <c r="W26" i="110" s="1"/>
  <c r="N26" i="110"/>
  <c r="X26" i="110" s="1"/>
  <c r="Y26" i="110" s="1"/>
  <c r="M27" i="110"/>
  <c r="W27" i="110" s="1"/>
  <c r="N27" i="110"/>
  <c r="X27" i="110" s="1"/>
  <c r="Y27" i="110" s="1"/>
  <c r="M28" i="110"/>
  <c r="W28" i="110" s="1"/>
  <c r="N28" i="110"/>
  <c r="X28" i="110" s="1"/>
  <c r="Y28" i="110" s="1"/>
  <c r="M29" i="110"/>
  <c r="W29" i="110" s="1"/>
  <c r="N29" i="110"/>
  <c r="X29" i="110" s="1"/>
  <c r="Y29" i="110" s="1"/>
  <c r="M30" i="110"/>
  <c r="W30" i="110" s="1"/>
  <c r="N30" i="110"/>
  <c r="X30" i="110" s="1"/>
  <c r="Y30" i="110" s="1"/>
  <c r="M31" i="110"/>
  <c r="W31" i="110" s="1"/>
  <c r="N31" i="110"/>
  <c r="X31" i="110" s="1"/>
  <c r="Y31" i="110" s="1"/>
  <c r="M32" i="110"/>
  <c r="W32" i="110" s="1"/>
  <c r="N32" i="110"/>
  <c r="X32" i="110" s="1"/>
  <c r="Y32" i="110" s="1"/>
  <c r="M34" i="110"/>
  <c r="W34" i="110" s="1"/>
  <c r="N34" i="110"/>
  <c r="X34" i="110" s="1"/>
  <c r="Y34" i="110" s="1"/>
  <c r="M35" i="110"/>
  <c r="W35" i="110" s="1"/>
  <c r="N35" i="110"/>
  <c r="X35" i="110" s="1"/>
  <c r="Y35" i="110" s="1"/>
  <c r="M36" i="110"/>
  <c r="W36" i="110" s="1"/>
  <c r="N36" i="110"/>
  <c r="X36" i="110" s="1"/>
  <c r="M37" i="110"/>
  <c r="W37" i="110" s="1"/>
  <c r="N37" i="110"/>
  <c r="X37" i="110" s="1"/>
  <c r="M38" i="110"/>
  <c r="W38" i="110" s="1"/>
  <c r="N38" i="110"/>
  <c r="X38" i="110" s="1"/>
  <c r="M39" i="110"/>
  <c r="W39" i="110" s="1"/>
  <c r="N39" i="110"/>
  <c r="X39" i="110" s="1"/>
  <c r="Y39" i="110" s="1"/>
  <c r="M40" i="110"/>
  <c r="W40" i="110" s="1"/>
  <c r="N40" i="110"/>
  <c r="X40" i="110" s="1"/>
  <c r="Y40" i="110" s="1"/>
  <c r="M41" i="110"/>
  <c r="W41" i="110" s="1"/>
  <c r="N41" i="110"/>
  <c r="X41" i="110" s="1"/>
  <c r="Y41" i="110" s="1"/>
  <c r="M42" i="110"/>
  <c r="W42" i="110" s="1"/>
  <c r="N42" i="110"/>
  <c r="X42" i="110" s="1"/>
  <c r="Y42" i="110" s="1"/>
  <c r="M43" i="110"/>
  <c r="W43" i="110" s="1"/>
  <c r="N43" i="110"/>
  <c r="X43" i="110" s="1"/>
  <c r="Y43" i="110" s="1"/>
  <c r="M44" i="110"/>
  <c r="W44" i="110" s="1"/>
  <c r="N44" i="110"/>
  <c r="X44" i="110" s="1"/>
  <c r="M45" i="110"/>
  <c r="W45" i="110" s="1"/>
  <c r="N45" i="110"/>
  <c r="X45" i="110" s="1"/>
  <c r="Y45" i="110" s="1"/>
  <c r="M46" i="110"/>
  <c r="W46" i="110" s="1"/>
  <c r="N46" i="110"/>
  <c r="X46" i="110" s="1"/>
  <c r="Y46" i="110" s="1"/>
  <c r="M47" i="110"/>
  <c r="W47" i="110" s="1"/>
  <c r="N47" i="110"/>
  <c r="X47" i="110" s="1"/>
  <c r="Y47" i="110" s="1"/>
  <c r="M48" i="110"/>
  <c r="W48" i="110" s="1"/>
  <c r="N48" i="110"/>
  <c r="X48" i="110" s="1"/>
  <c r="Y48" i="110" s="1"/>
  <c r="M49" i="110"/>
  <c r="W49" i="110" s="1"/>
  <c r="N49" i="110"/>
  <c r="X49" i="110" s="1"/>
  <c r="Y49" i="110" s="1"/>
  <c r="M50" i="110"/>
  <c r="W50" i="110" s="1"/>
  <c r="N50" i="110"/>
  <c r="X50" i="110" s="1"/>
  <c r="Y50" i="110" s="1"/>
  <c r="M51" i="110"/>
  <c r="W51" i="110" s="1"/>
  <c r="N51" i="110"/>
  <c r="X51" i="110" s="1"/>
  <c r="Y51" i="110" s="1"/>
  <c r="M52" i="110"/>
  <c r="W52" i="110" s="1"/>
  <c r="N52" i="110"/>
  <c r="X52" i="110" s="1"/>
  <c r="M53" i="110"/>
  <c r="W53" i="110" s="1"/>
  <c r="N53" i="110"/>
  <c r="X53" i="110" s="1"/>
  <c r="M54" i="110"/>
  <c r="W54" i="110" s="1"/>
  <c r="N54" i="110"/>
  <c r="X54" i="110" s="1"/>
  <c r="M55" i="110"/>
  <c r="W55" i="110" s="1"/>
  <c r="N55" i="110"/>
  <c r="X55" i="110" s="1"/>
  <c r="Y55" i="110" s="1"/>
  <c r="M57" i="110"/>
  <c r="N57" i="110"/>
  <c r="X57" i="110" s="1"/>
  <c r="M58" i="110"/>
  <c r="W58" i="110" s="1"/>
  <c r="N58" i="110"/>
  <c r="X58" i="110" s="1"/>
  <c r="Y58" i="110" s="1"/>
  <c r="M59" i="110"/>
  <c r="W59" i="110" s="1"/>
  <c r="N59" i="110"/>
  <c r="X59" i="110" s="1"/>
  <c r="Y59" i="110" s="1"/>
  <c r="M61" i="110"/>
  <c r="W61" i="110" s="1"/>
  <c r="W62" i="110" s="1"/>
  <c r="N61" i="110"/>
  <c r="X61" i="110" s="1"/>
  <c r="N6" i="110"/>
  <c r="X6" i="110" s="1"/>
  <c r="Y6" i="110" s="1"/>
  <c r="M6" i="110"/>
  <c r="W6" i="110" s="1"/>
  <c r="D62" i="110"/>
  <c r="E62" i="110"/>
  <c r="F62" i="110"/>
  <c r="G62" i="110"/>
  <c r="H62" i="110"/>
  <c r="I62" i="110"/>
  <c r="J62" i="110"/>
  <c r="K62" i="110"/>
  <c r="L62" i="110"/>
  <c r="O62" i="110"/>
  <c r="P62" i="110"/>
  <c r="Q62" i="110"/>
  <c r="R62" i="110"/>
  <c r="S62" i="110"/>
  <c r="T62" i="110"/>
  <c r="U62" i="110"/>
  <c r="V62" i="110"/>
  <c r="C62" i="110"/>
  <c r="D60" i="110"/>
  <c r="E60" i="110"/>
  <c r="F60" i="110"/>
  <c r="G60" i="110"/>
  <c r="H60" i="110"/>
  <c r="I60" i="110"/>
  <c r="J60" i="110"/>
  <c r="K60" i="110"/>
  <c r="L60" i="110"/>
  <c r="O60" i="110"/>
  <c r="P60" i="110"/>
  <c r="Q60" i="110"/>
  <c r="R60" i="110"/>
  <c r="S60" i="110"/>
  <c r="T60" i="110"/>
  <c r="U60" i="110"/>
  <c r="V60" i="110"/>
  <c r="C60" i="110"/>
  <c r="D56" i="110"/>
  <c r="E56" i="110"/>
  <c r="F56" i="110"/>
  <c r="G56" i="110"/>
  <c r="H56" i="110"/>
  <c r="I56" i="110"/>
  <c r="J56" i="110"/>
  <c r="K56" i="110"/>
  <c r="L56" i="110"/>
  <c r="O56" i="110"/>
  <c r="P56" i="110"/>
  <c r="Q56" i="110"/>
  <c r="R56" i="110"/>
  <c r="S56" i="110"/>
  <c r="T56" i="110"/>
  <c r="U56" i="110"/>
  <c r="V56" i="110"/>
  <c r="C56" i="110"/>
  <c r="D33" i="110"/>
  <c r="E33" i="110"/>
  <c r="F33" i="110"/>
  <c r="G33" i="110"/>
  <c r="H33" i="110"/>
  <c r="I33" i="110"/>
  <c r="J33" i="110"/>
  <c r="K33" i="110"/>
  <c r="L33" i="110"/>
  <c r="O33" i="110"/>
  <c r="P33" i="110"/>
  <c r="Q33" i="110"/>
  <c r="R33" i="110"/>
  <c r="S33" i="110"/>
  <c r="T33" i="110"/>
  <c r="U33" i="110"/>
  <c r="V33" i="110"/>
  <c r="C33" i="110"/>
  <c r="M60" i="110" l="1"/>
  <c r="G61" i="15"/>
  <c r="M61" i="85"/>
  <c r="N61" i="85" s="1"/>
  <c r="P61" i="85" s="1"/>
  <c r="N60" i="85"/>
  <c r="O60" i="85"/>
  <c r="O62" i="85"/>
  <c r="G46" i="15"/>
  <c r="M46" i="85"/>
  <c r="N46" i="85" s="1"/>
  <c r="G27" i="15"/>
  <c r="M27" i="85"/>
  <c r="N27" i="85" s="1"/>
  <c r="G16" i="15"/>
  <c r="M16" i="85"/>
  <c r="N16" i="85" s="1"/>
  <c r="Y57" i="110"/>
  <c r="X60" i="110"/>
  <c r="Y60" i="110" s="1"/>
  <c r="W57" i="110"/>
  <c r="W60" i="110" s="1"/>
  <c r="G63" i="78"/>
  <c r="N60" i="110"/>
  <c r="N56" i="78"/>
  <c r="M56" i="85" s="1"/>
  <c r="N56" i="85" s="1"/>
  <c r="G55" i="15"/>
  <c r="N60" i="78"/>
  <c r="M62" i="78"/>
  <c r="J63" i="110"/>
  <c r="D63" i="110"/>
  <c r="M33" i="78"/>
  <c r="M56" i="78"/>
  <c r="I63" i="78"/>
  <c r="E63" i="78"/>
  <c r="M60" i="78"/>
  <c r="I63" i="110"/>
  <c r="E63" i="110"/>
  <c r="C63" i="110"/>
  <c r="W56" i="110"/>
  <c r="X56" i="110"/>
  <c r="Y56" i="110" s="1"/>
  <c r="Y38" i="110"/>
  <c r="N56" i="110"/>
  <c r="M56" i="110"/>
  <c r="N33" i="110"/>
  <c r="H63" i="110"/>
  <c r="G63" i="110"/>
  <c r="M33" i="110"/>
  <c r="N62" i="78"/>
  <c r="M62" i="85" s="1"/>
  <c r="N62" i="85" s="1"/>
  <c r="C63" i="78"/>
  <c r="L63" i="78"/>
  <c r="H63" i="78"/>
  <c r="D63" i="78"/>
  <c r="D68" i="78" s="1"/>
  <c r="N33" i="78"/>
  <c r="M33" i="85" s="1"/>
  <c r="N33" i="85" s="1"/>
  <c r="P33" i="85" s="1"/>
  <c r="X33" i="110"/>
  <c r="Y33" i="110" s="1"/>
  <c r="W33" i="110"/>
  <c r="P63" i="110"/>
  <c r="S63" i="110"/>
  <c r="O63" i="110"/>
  <c r="Y10" i="110"/>
  <c r="U63" i="110"/>
  <c r="T63" i="110"/>
  <c r="V63" i="110"/>
  <c r="R63" i="110"/>
  <c r="Q63" i="110"/>
  <c r="L63" i="110"/>
  <c r="K63" i="110"/>
  <c r="M62" i="110"/>
  <c r="X62" i="110"/>
  <c r="N62" i="110"/>
  <c r="F63" i="110"/>
  <c r="P62" i="85" l="1"/>
  <c r="N63" i="110"/>
  <c r="P60" i="85"/>
  <c r="G33" i="15"/>
  <c r="M63" i="78"/>
  <c r="M63" i="110"/>
  <c r="W63" i="110"/>
  <c r="N63" i="78"/>
  <c r="N68" i="78" s="1"/>
  <c r="X63" i="110"/>
  <c r="Y63" i="110" s="1"/>
  <c r="L29" i="109"/>
  <c r="L30" i="109"/>
  <c r="L31" i="109"/>
  <c r="L32" i="109"/>
  <c r="L34" i="109"/>
  <c r="L38" i="109"/>
  <c r="L39" i="109"/>
  <c r="L40" i="109"/>
  <c r="L41" i="109"/>
  <c r="L42" i="109"/>
  <c r="L43" i="109"/>
  <c r="L45" i="109"/>
  <c r="L46" i="109"/>
  <c r="L47" i="109"/>
  <c r="L48" i="109"/>
  <c r="L49" i="109"/>
  <c r="L50" i="109"/>
  <c r="L51" i="109"/>
  <c r="L52" i="109"/>
  <c r="L55" i="109"/>
  <c r="L57" i="109"/>
  <c r="L58" i="109"/>
  <c r="L59" i="109"/>
  <c r="G31" i="109"/>
  <c r="G32" i="109"/>
  <c r="G34" i="109"/>
  <c r="G35" i="109"/>
  <c r="G38" i="109"/>
  <c r="G39" i="109"/>
  <c r="G40" i="109"/>
  <c r="G41" i="109"/>
  <c r="G42" i="109"/>
  <c r="G43" i="109"/>
  <c r="G45" i="109"/>
  <c r="G46" i="109"/>
  <c r="G47" i="109"/>
  <c r="G48" i="109"/>
  <c r="G49" i="109"/>
  <c r="G50" i="109"/>
  <c r="G51" i="109"/>
  <c r="G52" i="109"/>
  <c r="G55" i="109"/>
  <c r="G57" i="109"/>
  <c r="G58" i="109"/>
  <c r="G59" i="109"/>
  <c r="G61" i="109"/>
  <c r="D62" i="109"/>
  <c r="E62" i="109"/>
  <c r="F62" i="109"/>
  <c r="H62" i="109"/>
  <c r="I62" i="109"/>
  <c r="J62" i="109"/>
  <c r="K62" i="109"/>
  <c r="M62" i="109"/>
  <c r="N62" i="109"/>
  <c r="C62" i="109"/>
  <c r="D60" i="109"/>
  <c r="E60" i="109"/>
  <c r="F60" i="109"/>
  <c r="H60" i="109"/>
  <c r="I60" i="109"/>
  <c r="J60" i="109"/>
  <c r="K60" i="109"/>
  <c r="M60" i="109"/>
  <c r="N60" i="109"/>
  <c r="C60" i="109"/>
  <c r="D56" i="109"/>
  <c r="E56" i="109"/>
  <c r="F56" i="109"/>
  <c r="H56" i="109"/>
  <c r="I56" i="109"/>
  <c r="J56" i="109"/>
  <c r="K56" i="109"/>
  <c r="M56" i="109"/>
  <c r="N56" i="109"/>
  <c r="C56" i="109"/>
  <c r="D33" i="109"/>
  <c r="E33" i="109"/>
  <c r="F33" i="109"/>
  <c r="H33" i="109"/>
  <c r="I33" i="109"/>
  <c r="J33" i="109"/>
  <c r="K33" i="109"/>
  <c r="M33" i="109"/>
  <c r="N33" i="109"/>
  <c r="C33" i="109"/>
  <c r="L7" i="109"/>
  <c r="L8" i="109"/>
  <c r="L9" i="109"/>
  <c r="L10" i="109"/>
  <c r="L12" i="109"/>
  <c r="L13" i="109"/>
  <c r="L14" i="109"/>
  <c r="L15" i="109"/>
  <c r="L16" i="109"/>
  <c r="L17" i="109"/>
  <c r="L18" i="109"/>
  <c r="L19" i="109"/>
  <c r="L20" i="109"/>
  <c r="L21" i="109"/>
  <c r="L22" i="109"/>
  <c r="L23" i="109"/>
  <c r="L24" i="109"/>
  <c r="L25" i="109"/>
  <c r="L26" i="109"/>
  <c r="L27" i="109"/>
  <c r="L28" i="109"/>
  <c r="L6" i="109"/>
  <c r="G7" i="109"/>
  <c r="G8" i="109"/>
  <c r="G9" i="109"/>
  <c r="G10" i="109"/>
  <c r="G12" i="109"/>
  <c r="G13" i="109"/>
  <c r="G14" i="109"/>
  <c r="G15" i="109"/>
  <c r="G16" i="109"/>
  <c r="G17" i="109"/>
  <c r="G18" i="109"/>
  <c r="G19" i="109"/>
  <c r="G20" i="109"/>
  <c r="G21" i="109"/>
  <c r="G22" i="109"/>
  <c r="G23" i="109"/>
  <c r="G24" i="109"/>
  <c r="G25" i="109"/>
  <c r="G26" i="109"/>
  <c r="G27" i="109"/>
  <c r="G28" i="109"/>
  <c r="G29" i="109"/>
  <c r="G30" i="109"/>
  <c r="G6" i="109"/>
  <c r="H63" i="109" l="1"/>
  <c r="C63" i="109"/>
  <c r="D63" i="109"/>
  <c r="L60" i="109"/>
  <c r="G60" i="109"/>
  <c r="O63" i="85"/>
  <c r="M63" i="85"/>
  <c r="N63" i="85" s="1"/>
  <c r="G56" i="109"/>
  <c r="G62" i="109"/>
  <c r="L33" i="109"/>
  <c r="N63" i="109"/>
  <c r="M63" i="109"/>
  <c r="I63" i="109"/>
  <c r="L56" i="109"/>
  <c r="J63" i="109"/>
  <c r="K63" i="109"/>
  <c r="F63" i="109"/>
  <c r="E63" i="109"/>
  <c r="G33" i="109"/>
  <c r="Q7" i="71"/>
  <c r="Q8" i="71"/>
  <c r="Q9" i="71"/>
  <c r="Q10" i="71"/>
  <c r="Q11" i="71"/>
  <c r="Q12" i="71"/>
  <c r="Q13" i="71"/>
  <c r="Q14" i="71"/>
  <c r="Q15" i="71"/>
  <c r="Q16" i="71"/>
  <c r="Q17" i="71"/>
  <c r="Q18" i="71"/>
  <c r="Q19" i="71"/>
  <c r="Q20" i="71"/>
  <c r="Q21" i="71"/>
  <c r="Q22" i="71"/>
  <c r="Q23" i="71"/>
  <c r="Q24" i="71"/>
  <c r="Q25" i="71"/>
  <c r="Q26" i="71"/>
  <c r="Q27" i="71"/>
  <c r="Q28" i="71"/>
  <c r="Q29" i="71"/>
  <c r="Q30" i="71"/>
  <c r="Q31" i="71"/>
  <c r="Q32" i="71"/>
  <c r="Q34" i="71"/>
  <c r="Q35" i="71"/>
  <c r="Q38" i="71"/>
  <c r="Q39" i="71"/>
  <c r="Q40" i="71"/>
  <c r="Q41" i="71"/>
  <c r="Q42" i="71"/>
  <c r="Q43" i="71"/>
  <c r="Q45" i="71"/>
  <c r="Q46" i="71"/>
  <c r="Q47" i="71"/>
  <c r="Q48" i="71"/>
  <c r="Q49" i="71"/>
  <c r="Q50" i="71"/>
  <c r="Q51" i="71"/>
  <c r="Q52" i="71"/>
  <c r="Q55" i="71"/>
  <c r="Q57" i="71"/>
  <c r="Q58" i="71"/>
  <c r="Q59" i="71"/>
  <c r="Q61" i="71"/>
  <c r="Q6" i="71"/>
  <c r="L34" i="71"/>
  <c r="L35" i="71"/>
  <c r="L38" i="71"/>
  <c r="L39" i="71"/>
  <c r="L40" i="71"/>
  <c r="L41" i="71"/>
  <c r="L42" i="71"/>
  <c r="L43" i="71"/>
  <c r="L45" i="71"/>
  <c r="L46" i="71"/>
  <c r="L47" i="71"/>
  <c r="L48" i="71"/>
  <c r="L49" i="71"/>
  <c r="L50" i="71"/>
  <c r="L51" i="71"/>
  <c r="L52" i="71"/>
  <c r="L55" i="71"/>
  <c r="L57" i="71"/>
  <c r="L58" i="71"/>
  <c r="L59" i="71"/>
  <c r="L61" i="71"/>
  <c r="L7" i="71"/>
  <c r="L8" i="71"/>
  <c r="L9" i="71"/>
  <c r="L10" i="71"/>
  <c r="L11" i="71"/>
  <c r="L12" i="71"/>
  <c r="L13" i="71"/>
  <c r="L14" i="71"/>
  <c r="L15" i="71"/>
  <c r="L16" i="71"/>
  <c r="L17" i="71"/>
  <c r="L18" i="71"/>
  <c r="L19" i="71"/>
  <c r="L20" i="71"/>
  <c r="L21" i="71"/>
  <c r="L22" i="71"/>
  <c r="L23" i="71"/>
  <c r="L24" i="71"/>
  <c r="L25" i="71"/>
  <c r="L26" i="71"/>
  <c r="L27" i="71"/>
  <c r="L28" i="71"/>
  <c r="L29" i="71"/>
  <c r="L30" i="71"/>
  <c r="L31" i="71"/>
  <c r="L32" i="71"/>
  <c r="L6" i="71"/>
  <c r="G34" i="71"/>
  <c r="G42" i="71"/>
  <c r="G8" i="71"/>
  <c r="G9" i="71"/>
  <c r="G12" i="71"/>
  <c r="G13" i="71"/>
  <c r="G14" i="71"/>
  <c r="G19" i="71"/>
  <c r="G21" i="71"/>
  <c r="G27" i="71"/>
  <c r="G29" i="71"/>
  <c r="G30" i="71"/>
  <c r="G6" i="71"/>
  <c r="D62" i="71"/>
  <c r="E62" i="71"/>
  <c r="F62" i="71"/>
  <c r="H62" i="71"/>
  <c r="H63" i="71" s="1"/>
  <c r="I62" i="71"/>
  <c r="J62" i="71"/>
  <c r="K62" i="71"/>
  <c r="M62" i="71"/>
  <c r="N62" i="71"/>
  <c r="O62" i="71"/>
  <c r="P62" i="71"/>
  <c r="D60" i="71"/>
  <c r="E60" i="71"/>
  <c r="F60" i="71"/>
  <c r="H60" i="71"/>
  <c r="I60" i="71"/>
  <c r="J60" i="71"/>
  <c r="K60" i="71"/>
  <c r="M60" i="71"/>
  <c r="N60" i="71"/>
  <c r="O60" i="71"/>
  <c r="P60" i="71"/>
  <c r="D33" i="71"/>
  <c r="E33" i="71"/>
  <c r="F33" i="71"/>
  <c r="H33" i="71"/>
  <c r="I33" i="71"/>
  <c r="J33" i="71"/>
  <c r="K33" i="71"/>
  <c r="M33" i="71"/>
  <c r="N33" i="71"/>
  <c r="O33" i="71"/>
  <c r="P33" i="71"/>
  <c r="D56" i="71"/>
  <c r="E56" i="71"/>
  <c r="F56" i="71"/>
  <c r="G56" i="71" s="1"/>
  <c r="H56" i="71"/>
  <c r="I56" i="71"/>
  <c r="J56" i="71"/>
  <c r="K56" i="71"/>
  <c r="M56" i="71"/>
  <c r="N56" i="71"/>
  <c r="O56" i="71"/>
  <c r="P56" i="71"/>
  <c r="C62" i="71"/>
  <c r="C60" i="71"/>
  <c r="C56" i="71"/>
  <c r="C33" i="71"/>
  <c r="N63" i="71" l="1"/>
  <c r="L56" i="71"/>
  <c r="Q60" i="71"/>
  <c r="L60" i="71"/>
  <c r="C63" i="71"/>
  <c r="M63" i="71"/>
  <c r="L63" i="109"/>
  <c r="Q62" i="71"/>
  <c r="L62" i="71"/>
  <c r="P63" i="85"/>
  <c r="J63" i="71"/>
  <c r="D63" i="71"/>
  <c r="Q33" i="71"/>
  <c r="L33" i="71"/>
  <c r="G33" i="71"/>
  <c r="G63" i="109"/>
  <c r="O63" i="71"/>
  <c r="P63" i="71"/>
  <c r="I63" i="71"/>
  <c r="Q56" i="71"/>
  <c r="K63" i="71"/>
  <c r="F63" i="71"/>
  <c r="E63" i="71"/>
  <c r="P32" i="93"/>
  <c r="R32" i="109" s="1"/>
  <c r="P34" i="93"/>
  <c r="R34" i="109" s="1"/>
  <c r="P36" i="93"/>
  <c r="R36" i="109" s="1"/>
  <c r="P37" i="93"/>
  <c r="R37" i="109" s="1"/>
  <c r="P38" i="93"/>
  <c r="R38" i="109" s="1"/>
  <c r="P39" i="93"/>
  <c r="R39" i="109" s="1"/>
  <c r="P40" i="93"/>
  <c r="R40" i="109" s="1"/>
  <c r="P41" i="93"/>
  <c r="R41" i="109" s="1"/>
  <c r="P42" i="93"/>
  <c r="R42" i="109" s="1"/>
  <c r="P43" i="93"/>
  <c r="R43" i="109" s="1"/>
  <c r="R44" i="109"/>
  <c r="P45" i="93"/>
  <c r="R45" i="109" s="1"/>
  <c r="P53" i="93"/>
  <c r="R53" i="109" s="1"/>
  <c r="P54" i="93"/>
  <c r="R54" i="109" s="1"/>
  <c r="P55" i="93"/>
  <c r="P57" i="93"/>
  <c r="R57" i="109" s="1"/>
  <c r="P58" i="93"/>
  <c r="R58" i="109" s="1"/>
  <c r="P59" i="93"/>
  <c r="P61" i="93"/>
  <c r="R61" i="109" s="1"/>
  <c r="O7" i="93"/>
  <c r="Q7" i="109" s="1"/>
  <c r="O8" i="93"/>
  <c r="Q8" i="109" s="1"/>
  <c r="O9" i="93"/>
  <c r="Q9" i="109" s="1"/>
  <c r="O10" i="93"/>
  <c r="Q10" i="109" s="1"/>
  <c r="O11" i="93"/>
  <c r="Q11" i="109" s="1"/>
  <c r="O12" i="93"/>
  <c r="Q12" i="109" s="1"/>
  <c r="O13" i="93"/>
  <c r="Q13" i="109" s="1"/>
  <c r="O14" i="93"/>
  <c r="Q14" i="109" s="1"/>
  <c r="O15" i="93"/>
  <c r="Q15" i="109" s="1"/>
  <c r="O16" i="93"/>
  <c r="Q16" i="109" s="1"/>
  <c r="O17" i="93"/>
  <c r="Q17" i="109" s="1"/>
  <c r="O18" i="93"/>
  <c r="Q18" i="109" s="1"/>
  <c r="O19" i="93"/>
  <c r="Q19" i="109" s="1"/>
  <c r="O20" i="93"/>
  <c r="Q20" i="109" s="1"/>
  <c r="O21" i="93"/>
  <c r="Q21" i="109" s="1"/>
  <c r="O22" i="93"/>
  <c r="Q22" i="109" s="1"/>
  <c r="O23" i="93"/>
  <c r="Q23" i="109" s="1"/>
  <c r="O24" i="93"/>
  <c r="Q24" i="109" s="1"/>
  <c r="O25" i="93"/>
  <c r="Q25" i="109" s="1"/>
  <c r="O26" i="93"/>
  <c r="Q26" i="109" s="1"/>
  <c r="O27" i="93"/>
  <c r="Q27" i="109" s="1"/>
  <c r="O28" i="93"/>
  <c r="Q28" i="109" s="1"/>
  <c r="O29" i="93"/>
  <c r="Q29" i="109" s="1"/>
  <c r="O30" i="93"/>
  <c r="Q30" i="109" s="1"/>
  <c r="O31" i="93"/>
  <c r="Q31" i="109" s="1"/>
  <c r="O32" i="93"/>
  <c r="Q32" i="109" s="1"/>
  <c r="O34" i="93"/>
  <c r="Q34" i="109" s="1"/>
  <c r="O36" i="93"/>
  <c r="Q36" i="109" s="1"/>
  <c r="O37" i="93"/>
  <c r="Q37" i="109" s="1"/>
  <c r="O38" i="93"/>
  <c r="Q38" i="109" s="1"/>
  <c r="O39" i="93"/>
  <c r="Q39" i="109" s="1"/>
  <c r="O40" i="93"/>
  <c r="Q40" i="109" s="1"/>
  <c r="O41" i="93"/>
  <c r="Q41" i="109" s="1"/>
  <c r="O42" i="93"/>
  <c r="Q42" i="109" s="1"/>
  <c r="O43" i="93"/>
  <c r="Q43" i="109" s="1"/>
  <c r="Q44" i="109"/>
  <c r="O45" i="93"/>
  <c r="Q45" i="109" s="1"/>
  <c r="O53" i="93"/>
  <c r="Q53" i="109" s="1"/>
  <c r="O54" i="93"/>
  <c r="Q54" i="109" s="1"/>
  <c r="O55" i="93"/>
  <c r="O57" i="93"/>
  <c r="Q57" i="109" s="1"/>
  <c r="O58" i="93"/>
  <c r="Q58" i="109" s="1"/>
  <c r="O59" i="93"/>
  <c r="Q59" i="109" s="1"/>
  <c r="O61" i="93"/>
  <c r="Q61" i="109" s="1"/>
  <c r="Q57" i="93"/>
  <c r="Q58" i="93"/>
  <c r="E62" i="93"/>
  <c r="F62" i="93"/>
  <c r="G62" i="93"/>
  <c r="H62" i="93"/>
  <c r="I62" i="93"/>
  <c r="J62" i="93"/>
  <c r="K62" i="93"/>
  <c r="L62" i="93"/>
  <c r="M62" i="93"/>
  <c r="N62" i="93"/>
  <c r="E60" i="93"/>
  <c r="F60" i="93"/>
  <c r="G60" i="93"/>
  <c r="H60" i="93"/>
  <c r="I60" i="93"/>
  <c r="J60" i="93"/>
  <c r="K60" i="93"/>
  <c r="L60" i="93"/>
  <c r="M60" i="93"/>
  <c r="N60" i="93"/>
  <c r="E56" i="93"/>
  <c r="F56" i="93"/>
  <c r="G56" i="93"/>
  <c r="H56" i="93"/>
  <c r="I56" i="93"/>
  <c r="J56" i="93"/>
  <c r="K56" i="93"/>
  <c r="L56" i="93"/>
  <c r="M56" i="93"/>
  <c r="N56" i="93"/>
  <c r="E33" i="93"/>
  <c r="F33" i="93"/>
  <c r="G33" i="93"/>
  <c r="H33" i="93"/>
  <c r="I33" i="93"/>
  <c r="J33" i="93"/>
  <c r="K33" i="93"/>
  <c r="L33" i="93"/>
  <c r="M33" i="93"/>
  <c r="N33" i="93"/>
  <c r="D62" i="93"/>
  <c r="C62" i="93"/>
  <c r="D60" i="93"/>
  <c r="C60" i="93"/>
  <c r="D56" i="93"/>
  <c r="C56" i="93"/>
  <c r="D33" i="93"/>
  <c r="C33" i="93"/>
  <c r="L34" i="108"/>
  <c r="L35" i="108"/>
  <c r="L39" i="108"/>
  <c r="L40" i="108"/>
  <c r="L41" i="108"/>
  <c r="L42" i="108"/>
  <c r="L43" i="108"/>
  <c r="L45" i="108"/>
  <c r="L46" i="108"/>
  <c r="L47" i="108"/>
  <c r="L49" i="108"/>
  <c r="L51" i="108"/>
  <c r="L52" i="108"/>
  <c r="L55" i="108"/>
  <c r="L57" i="108"/>
  <c r="L58" i="108"/>
  <c r="L59" i="108"/>
  <c r="L61" i="108"/>
  <c r="G34" i="108"/>
  <c r="G35" i="108"/>
  <c r="G39" i="108"/>
  <c r="G40" i="108"/>
  <c r="G41" i="108"/>
  <c r="G42" i="108"/>
  <c r="G43" i="108"/>
  <c r="G45" i="108"/>
  <c r="G46" i="108"/>
  <c r="G47" i="108"/>
  <c r="G49" i="108"/>
  <c r="G51" i="108"/>
  <c r="G52" i="108"/>
  <c r="G55" i="108"/>
  <c r="G57" i="108"/>
  <c r="G58" i="108"/>
  <c r="G59" i="108"/>
  <c r="G61" i="108"/>
  <c r="D62" i="108"/>
  <c r="E62" i="108"/>
  <c r="F62" i="108"/>
  <c r="G62" i="108" s="1"/>
  <c r="H62" i="108"/>
  <c r="H63" i="108" s="1"/>
  <c r="I62" i="108"/>
  <c r="J62" i="108"/>
  <c r="K62" i="108"/>
  <c r="D60" i="108"/>
  <c r="G60" i="108" s="1"/>
  <c r="E60" i="108"/>
  <c r="F60" i="108"/>
  <c r="H60" i="108"/>
  <c r="I60" i="108"/>
  <c r="J60" i="108"/>
  <c r="K60" i="108"/>
  <c r="D56" i="108"/>
  <c r="E56" i="108"/>
  <c r="F56" i="108"/>
  <c r="H56" i="108"/>
  <c r="I56" i="108"/>
  <c r="J56" i="108"/>
  <c r="K56" i="108"/>
  <c r="D33" i="108"/>
  <c r="E33" i="108"/>
  <c r="F33" i="108"/>
  <c r="H33" i="108"/>
  <c r="I33" i="108"/>
  <c r="J33" i="108"/>
  <c r="K33" i="108"/>
  <c r="Q17" i="108"/>
  <c r="P6" i="108"/>
  <c r="O6" i="108"/>
  <c r="L7" i="108"/>
  <c r="L8" i="108"/>
  <c r="L9" i="108"/>
  <c r="L10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L28" i="108"/>
  <c r="L29" i="108"/>
  <c r="L30" i="108"/>
  <c r="L31" i="108"/>
  <c r="L32" i="108"/>
  <c r="L6" i="108"/>
  <c r="G7" i="108"/>
  <c r="G8" i="108"/>
  <c r="G9" i="108"/>
  <c r="G10" i="108"/>
  <c r="G11" i="108"/>
  <c r="G12" i="108"/>
  <c r="G13" i="108"/>
  <c r="G14" i="108"/>
  <c r="G15" i="108"/>
  <c r="G16" i="108"/>
  <c r="G17" i="108"/>
  <c r="G18" i="108"/>
  <c r="G19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6" i="108"/>
  <c r="M7" i="108"/>
  <c r="O7" i="109" s="1"/>
  <c r="N7" i="108"/>
  <c r="P7" i="109" s="1"/>
  <c r="S7" i="109" s="1"/>
  <c r="M8" i="108"/>
  <c r="O8" i="109" s="1"/>
  <c r="N8" i="108"/>
  <c r="P8" i="109" s="1"/>
  <c r="S8" i="109" s="1"/>
  <c r="M9" i="108"/>
  <c r="O9" i="109" s="1"/>
  <c r="N9" i="108"/>
  <c r="P9" i="109" s="1"/>
  <c r="S9" i="109" s="1"/>
  <c r="M10" i="108"/>
  <c r="O10" i="109" s="1"/>
  <c r="N10" i="108"/>
  <c r="P10" i="109" s="1"/>
  <c r="S10" i="109" s="1"/>
  <c r="M11" i="108"/>
  <c r="O11" i="109" s="1"/>
  <c r="P11" i="109"/>
  <c r="S11" i="109" s="1"/>
  <c r="M12" i="108"/>
  <c r="O12" i="109" s="1"/>
  <c r="N12" i="108"/>
  <c r="P12" i="109" s="1"/>
  <c r="M13" i="108"/>
  <c r="O13" i="109" s="1"/>
  <c r="N13" i="108"/>
  <c r="P13" i="109" s="1"/>
  <c r="M14" i="108"/>
  <c r="O14" i="109" s="1"/>
  <c r="N14" i="108"/>
  <c r="P14" i="109" s="1"/>
  <c r="S14" i="109" s="1"/>
  <c r="M15" i="108"/>
  <c r="O15" i="109" s="1"/>
  <c r="N15" i="108"/>
  <c r="P15" i="109" s="1"/>
  <c r="S15" i="109" s="1"/>
  <c r="M16" i="108"/>
  <c r="O16" i="109" s="1"/>
  <c r="N16" i="108"/>
  <c r="P16" i="109" s="1"/>
  <c r="S16" i="109" s="1"/>
  <c r="M17" i="108"/>
  <c r="O17" i="109" s="1"/>
  <c r="N17" i="108"/>
  <c r="P17" i="109" s="1"/>
  <c r="S17" i="109" s="1"/>
  <c r="M18" i="108"/>
  <c r="O18" i="109" s="1"/>
  <c r="N18" i="108"/>
  <c r="P18" i="109" s="1"/>
  <c r="S18" i="109" s="1"/>
  <c r="M19" i="108"/>
  <c r="O19" i="109" s="1"/>
  <c r="N19" i="108"/>
  <c r="P19" i="109" s="1"/>
  <c r="S19" i="109" s="1"/>
  <c r="M20" i="108"/>
  <c r="O20" i="109" s="1"/>
  <c r="N20" i="108"/>
  <c r="P20" i="109" s="1"/>
  <c r="S20" i="109" s="1"/>
  <c r="M21" i="108"/>
  <c r="O21" i="109" s="1"/>
  <c r="N21" i="108"/>
  <c r="P21" i="109" s="1"/>
  <c r="S21" i="109" s="1"/>
  <c r="M22" i="108"/>
  <c r="O22" i="109" s="1"/>
  <c r="N22" i="108"/>
  <c r="P22" i="109" s="1"/>
  <c r="S22" i="109" s="1"/>
  <c r="M23" i="108"/>
  <c r="O23" i="109" s="1"/>
  <c r="N23" i="108"/>
  <c r="P23" i="109" s="1"/>
  <c r="S23" i="109" s="1"/>
  <c r="M24" i="108"/>
  <c r="O24" i="109" s="1"/>
  <c r="N24" i="108"/>
  <c r="P24" i="109" s="1"/>
  <c r="S24" i="109" s="1"/>
  <c r="M25" i="108"/>
  <c r="O25" i="109" s="1"/>
  <c r="N25" i="108"/>
  <c r="P25" i="109" s="1"/>
  <c r="S25" i="109" s="1"/>
  <c r="M26" i="108"/>
  <c r="O26" i="109" s="1"/>
  <c r="N26" i="108"/>
  <c r="P26" i="109" s="1"/>
  <c r="S26" i="109" s="1"/>
  <c r="M27" i="108"/>
  <c r="O27" i="109" s="1"/>
  <c r="N27" i="108"/>
  <c r="P27" i="109" s="1"/>
  <c r="S27" i="109" s="1"/>
  <c r="M28" i="108"/>
  <c r="O28" i="109" s="1"/>
  <c r="N28" i="108"/>
  <c r="P28" i="109" s="1"/>
  <c r="S28" i="109" s="1"/>
  <c r="M29" i="108"/>
  <c r="O29" i="109" s="1"/>
  <c r="N29" i="108"/>
  <c r="P29" i="109" s="1"/>
  <c r="S29" i="109" s="1"/>
  <c r="M30" i="108"/>
  <c r="O30" i="109" s="1"/>
  <c r="N30" i="108"/>
  <c r="P30" i="109" s="1"/>
  <c r="S30" i="109" s="1"/>
  <c r="M31" i="108"/>
  <c r="O31" i="109" s="1"/>
  <c r="N31" i="108"/>
  <c r="P31" i="109" s="1"/>
  <c r="S31" i="109" s="1"/>
  <c r="M32" i="108"/>
  <c r="O32" i="109" s="1"/>
  <c r="N32" i="108"/>
  <c r="P32" i="109" s="1"/>
  <c r="M34" i="108"/>
  <c r="O34" i="109" s="1"/>
  <c r="N34" i="108"/>
  <c r="P34" i="109" s="1"/>
  <c r="M35" i="108"/>
  <c r="O35" i="109" s="1"/>
  <c r="N35" i="108"/>
  <c r="P35" i="109" s="1"/>
  <c r="S35" i="109" s="1"/>
  <c r="M36" i="108"/>
  <c r="O36" i="109" s="1"/>
  <c r="N36" i="108"/>
  <c r="P36" i="109" s="1"/>
  <c r="M37" i="108"/>
  <c r="O37" i="109" s="1"/>
  <c r="N37" i="108"/>
  <c r="P37" i="109" s="1"/>
  <c r="M38" i="108"/>
  <c r="O38" i="109" s="1"/>
  <c r="N38" i="108"/>
  <c r="P38" i="109" s="1"/>
  <c r="M39" i="108"/>
  <c r="O39" i="109" s="1"/>
  <c r="N39" i="108"/>
  <c r="P39" i="109" s="1"/>
  <c r="M40" i="108"/>
  <c r="O40" i="109" s="1"/>
  <c r="N40" i="108"/>
  <c r="P40" i="109" s="1"/>
  <c r="M41" i="108"/>
  <c r="O41" i="109" s="1"/>
  <c r="N41" i="108"/>
  <c r="P41" i="109" s="1"/>
  <c r="M42" i="108"/>
  <c r="O42" i="109" s="1"/>
  <c r="N42" i="108"/>
  <c r="P42" i="109" s="1"/>
  <c r="M43" i="108"/>
  <c r="O43" i="109" s="1"/>
  <c r="N43" i="108"/>
  <c r="P43" i="109" s="1"/>
  <c r="M44" i="108"/>
  <c r="O44" i="109" s="1"/>
  <c r="N44" i="108"/>
  <c r="P44" i="109" s="1"/>
  <c r="M45" i="108"/>
  <c r="O45" i="109" s="1"/>
  <c r="N45" i="108"/>
  <c r="P45" i="109" s="1"/>
  <c r="M46" i="108"/>
  <c r="O46" i="109" s="1"/>
  <c r="N46" i="108"/>
  <c r="P46" i="109" s="1"/>
  <c r="S46" i="109" s="1"/>
  <c r="M47" i="108"/>
  <c r="O47" i="109" s="1"/>
  <c r="N47" i="108"/>
  <c r="P47" i="109" s="1"/>
  <c r="S47" i="109" s="1"/>
  <c r="M48" i="108"/>
  <c r="O48" i="109" s="1"/>
  <c r="N48" i="108"/>
  <c r="P48" i="109" s="1"/>
  <c r="S48" i="109" s="1"/>
  <c r="M49" i="108"/>
  <c r="O49" i="109" s="1"/>
  <c r="N49" i="108"/>
  <c r="P49" i="109" s="1"/>
  <c r="S49" i="109" s="1"/>
  <c r="M50" i="108"/>
  <c r="O50" i="109" s="1"/>
  <c r="N50" i="108"/>
  <c r="P50" i="109" s="1"/>
  <c r="S50" i="109" s="1"/>
  <c r="M51" i="108"/>
  <c r="O51" i="109" s="1"/>
  <c r="N51" i="108"/>
  <c r="P51" i="109" s="1"/>
  <c r="S51" i="109" s="1"/>
  <c r="M52" i="108"/>
  <c r="O52" i="109" s="1"/>
  <c r="N52" i="108"/>
  <c r="P52" i="109" s="1"/>
  <c r="S52" i="109" s="1"/>
  <c r="M53" i="108"/>
  <c r="O53" i="109" s="1"/>
  <c r="N53" i="108"/>
  <c r="P53" i="109" s="1"/>
  <c r="M54" i="108"/>
  <c r="O54" i="109" s="1"/>
  <c r="N54" i="108"/>
  <c r="P54" i="109" s="1"/>
  <c r="M55" i="108"/>
  <c r="O55" i="109" s="1"/>
  <c r="N55" i="108"/>
  <c r="P55" i="109" s="1"/>
  <c r="M57" i="108"/>
  <c r="O57" i="109" s="1"/>
  <c r="N57" i="108"/>
  <c r="P57" i="109" s="1"/>
  <c r="M61" i="108"/>
  <c r="O61" i="109" s="1"/>
  <c r="N61" i="108"/>
  <c r="P61" i="109" s="1"/>
  <c r="N6" i="108"/>
  <c r="P6" i="109" s="1"/>
  <c r="M6" i="108"/>
  <c r="O6" i="109" s="1"/>
  <c r="C62" i="108"/>
  <c r="C60" i="108"/>
  <c r="C56" i="108"/>
  <c r="C33" i="108"/>
  <c r="Q22" i="108" l="1"/>
  <c r="Q6" i="108"/>
  <c r="Q9" i="108"/>
  <c r="N56" i="108"/>
  <c r="Q43" i="108"/>
  <c r="I63" i="108"/>
  <c r="Q49" i="108"/>
  <c r="C63" i="108"/>
  <c r="Q30" i="108"/>
  <c r="D63" i="108"/>
  <c r="Q39" i="108"/>
  <c r="P56" i="109"/>
  <c r="Q63" i="71"/>
  <c r="G63" i="71"/>
  <c r="Q61" i="93"/>
  <c r="D63" i="93"/>
  <c r="C63" i="93"/>
  <c r="N63" i="93"/>
  <c r="F63" i="93"/>
  <c r="J63" i="93"/>
  <c r="G63" i="93"/>
  <c r="S61" i="109"/>
  <c r="P56" i="93"/>
  <c r="R55" i="109"/>
  <c r="S55" i="109" s="1"/>
  <c r="S40" i="109"/>
  <c r="O60" i="93"/>
  <c r="M33" i="108"/>
  <c r="O33" i="109" s="1"/>
  <c r="Q25" i="108"/>
  <c r="Q21" i="108"/>
  <c r="Q16" i="108"/>
  <c r="Q8" i="108"/>
  <c r="L33" i="108"/>
  <c r="G33" i="108"/>
  <c r="M56" i="108"/>
  <c r="O56" i="109" s="1"/>
  <c r="Q57" i="108"/>
  <c r="Q47" i="108"/>
  <c r="Q42" i="108"/>
  <c r="Q35" i="108"/>
  <c r="Q59" i="93"/>
  <c r="R59" i="109"/>
  <c r="S43" i="109"/>
  <c r="S39" i="109"/>
  <c r="S34" i="109"/>
  <c r="P62" i="93"/>
  <c r="L62" i="108"/>
  <c r="Q61" i="108"/>
  <c r="Q32" i="108"/>
  <c r="Q24" i="108"/>
  <c r="Q20" i="108"/>
  <c r="Q15" i="108"/>
  <c r="Q7" i="108"/>
  <c r="L56" i="108"/>
  <c r="G56" i="108"/>
  <c r="N62" i="108"/>
  <c r="P62" i="109" s="1"/>
  <c r="Q52" i="108"/>
  <c r="Q46" i="108"/>
  <c r="Q41" i="108"/>
  <c r="Q34" i="108"/>
  <c r="S42" i="109"/>
  <c r="S38" i="109"/>
  <c r="S32" i="109"/>
  <c r="O62" i="93"/>
  <c r="O56" i="93"/>
  <c r="Q55" i="109"/>
  <c r="Q55" i="108"/>
  <c r="Q31" i="108"/>
  <c r="Q23" i="108"/>
  <c r="Q19" i="108"/>
  <c r="Q11" i="108"/>
  <c r="N33" i="108"/>
  <c r="P33" i="109" s="1"/>
  <c r="L60" i="108"/>
  <c r="M62" i="108"/>
  <c r="O62" i="109" s="1"/>
  <c r="Q51" i="108"/>
  <c r="Q45" i="108"/>
  <c r="Q40" i="108"/>
  <c r="S57" i="109"/>
  <c r="S45" i="109"/>
  <c r="S41" i="109"/>
  <c r="P60" i="93"/>
  <c r="Q27" i="108"/>
  <c r="Q18" i="108"/>
  <c r="Q13" i="108"/>
  <c r="S13" i="109"/>
  <c r="Q29" i="108"/>
  <c r="Q28" i="108"/>
  <c r="Q14" i="108"/>
  <c r="E63" i="108"/>
  <c r="Q26" i="108"/>
  <c r="L63" i="71"/>
  <c r="S12" i="109"/>
  <c r="Q12" i="108"/>
  <c r="K63" i="93"/>
  <c r="M63" i="93"/>
  <c r="I63" i="93"/>
  <c r="E63" i="93"/>
  <c r="L63" i="93"/>
  <c r="H63" i="93"/>
  <c r="Q10" i="108"/>
  <c r="J63" i="108"/>
  <c r="F63" i="108"/>
  <c r="K63" i="108"/>
  <c r="G63" i="108" l="1"/>
  <c r="Q60" i="93"/>
  <c r="L63" i="108"/>
  <c r="Q62" i="93"/>
  <c r="L7" i="73" l="1"/>
  <c r="L8" i="73"/>
  <c r="L9" i="73"/>
  <c r="L10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L32" i="73"/>
  <c r="L34" i="73"/>
  <c r="L35" i="73"/>
  <c r="L39" i="73"/>
  <c r="L40" i="73"/>
  <c r="L41" i="73"/>
  <c r="L42" i="73"/>
  <c r="L43" i="73"/>
  <c r="L45" i="73"/>
  <c r="L46" i="73"/>
  <c r="L47" i="73"/>
  <c r="L49" i="73"/>
  <c r="L51" i="73"/>
  <c r="L52" i="73"/>
  <c r="L55" i="73"/>
  <c r="L57" i="73"/>
  <c r="L58" i="73"/>
  <c r="L61" i="73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4" i="73"/>
  <c r="G35" i="73"/>
  <c r="G39" i="73"/>
  <c r="G40" i="73"/>
  <c r="G41" i="73"/>
  <c r="G42" i="73"/>
  <c r="G43" i="73"/>
  <c r="G45" i="73"/>
  <c r="G46" i="73"/>
  <c r="G47" i="73"/>
  <c r="G49" i="73"/>
  <c r="G51" i="73"/>
  <c r="G52" i="73"/>
  <c r="G55" i="73"/>
  <c r="G57" i="73"/>
  <c r="G61" i="73"/>
  <c r="D62" i="73"/>
  <c r="E62" i="73"/>
  <c r="F62" i="73"/>
  <c r="P62" i="108" s="1"/>
  <c r="H62" i="73"/>
  <c r="I62" i="73"/>
  <c r="J62" i="73"/>
  <c r="L62" i="73"/>
  <c r="C62" i="73"/>
  <c r="E60" i="73"/>
  <c r="O60" i="108" s="1"/>
  <c r="Q60" i="109" s="1"/>
  <c r="F60" i="73"/>
  <c r="P60" i="108" s="1"/>
  <c r="J60" i="73"/>
  <c r="K60" i="73"/>
  <c r="D56" i="73"/>
  <c r="E56" i="73"/>
  <c r="O56" i="108" s="1"/>
  <c r="Q56" i="109" s="1"/>
  <c r="F56" i="73"/>
  <c r="H56" i="73"/>
  <c r="I56" i="73"/>
  <c r="J56" i="73"/>
  <c r="K56" i="73"/>
  <c r="C56" i="73"/>
  <c r="D33" i="73"/>
  <c r="E33" i="73"/>
  <c r="F33" i="73"/>
  <c r="H33" i="73"/>
  <c r="I33" i="73"/>
  <c r="J33" i="73"/>
  <c r="K33" i="73"/>
  <c r="C33" i="73"/>
  <c r="L56" i="73" l="1"/>
  <c r="P33" i="108"/>
  <c r="Q33" i="108" s="1"/>
  <c r="O62" i="108"/>
  <c r="Q62" i="109" s="1"/>
  <c r="O33" i="108"/>
  <c r="G62" i="73"/>
  <c r="K63" i="73"/>
  <c r="G56" i="73"/>
  <c r="P56" i="108"/>
  <c r="R60" i="109"/>
  <c r="R62" i="109"/>
  <c r="S62" i="109" s="1"/>
  <c r="Q62" i="108"/>
  <c r="G33" i="73"/>
  <c r="J63" i="73"/>
  <c r="L33" i="73"/>
  <c r="E63" i="73"/>
  <c r="F63" i="73"/>
  <c r="O63" i="108" l="1"/>
  <c r="P63" i="108"/>
  <c r="Q56" i="108"/>
  <c r="R56" i="109"/>
  <c r="S56" i="109" s="1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7" i="9"/>
  <c r="J58" i="9"/>
  <c r="J59" i="9"/>
  <c r="J61" i="9"/>
  <c r="J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7" i="9"/>
  <c r="I58" i="9"/>
  <c r="I59" i="9"/>
  <c r="I61" i="9"/>
  <c r="I6" i="9"/>
  <c r="V24" i="105"/>
  <c r="X24" i="105" s="1"/>
  <c r="F6" i="112"/>
  <c r="F7" i="112"/>
  <c r="F8" i="112"/>
  <c r="F9" i="112"/>
  <c r="F10" i="112"/>
  <c r="F11" i="112"/>
  <c r="F12" i="112"/>
  <c r="F13" i="112"/>
  <c r="F14" i="112"/>
  <c r="F15" i="112"/>
  <c r="F16" i="112"/>
  <c r="F17" i="112"/>
  <c r="F18" i="112"/>
  <c r="F19" i="112"/>
  <c r="F20" i="112"/>
  <c r="F21" i="112"/>
  <c r="F22" i="112"/>
  <c r="F23" i="112"/>
  <c r="F24" i="112"/>
  <c r="F25" i="112"/>
  <c r="F26" i="112"/>
  <c r="F27" i="112"/>
  <c r="F28" i="112"/>
  <c r="F29" i="112"/>
  <c r="F30" i="112"/>
  <c r="F31" i="112"/>
  <c r="F32" i="112"/>
  <c r="F33" i="112"/>
  <c r="F34" i="112"/>
  <c r="F35" i="112"/>
  <c r="F36" i="112"/>
  <c r="F37" i="112"/>
  <c r="F38" i="112"/>
  <c r="F39" i="112"/>
  <c r="F40" i="112"/>
  <c r="F41" i="112"/>
  <c r="F42" i="112"/>
  <c r="F43" i="112"/>
  <c r="F44" i="112"/>
  <c r="F45" i="112"/>
  <c r="F46" i="112"/>
  <c r="F47" i="112"/>
  <c r="F48" i="112"/>
  <c r="F49" i="112"/>
  <c r="F50" i="112"/>
  <c r="F51" i="112"/>
  <c r="F52" i="112"/>
  <c r="F53" i="112"/>
  <c r="F54" i="112"/>
  <c r="F55" i="112"/>
  <c r="F5" i="112"/>
  <c r="E55" i="112"/>
  <c r="E54" i="112"/>
  <c r="E53" i="112"/>
  <c r="E52" i="112"/>
  <c r="E51" i="112"/>
  <c r="E50" i="112"/>
  <c r="E49" i="112"/>
  <c r="E48" i="112"/>
  <c r="E47" i="112"/>
  <c r="E46" i="112"/>
  <c r="E45" i="112"/>
  <c r="E44" i="112"/>
  <c r="E43" i="112"/>
  <c r="E42" i="112"/>
  <c r="E41" i="112"/>
  <c r="E40" i="112"/>
  <c r="E39" i="112"/>
  <c r="E38" i="112"/>
  <c r="E37" i="112"/>
  <c r="E36" i="112"/>
  <c r="E35" i="112"/>
  <c r="E34" i="112"/>
  <c r="E33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E6" i="112"/>
  <c r="E5" i="112"/>
  <c r="D62" i="106" l="1"/>
  <c r="G62" i="106"/>
  <c r="H62" i="106"/>
  <c r="K62" i="106"/>
  <c r="L62" i="106"/>
  <c r="M62" i="106"/>
  <c r="N62" i="106"/>
  <c r="O62" i="106"/>
  <c r="P62" i="106"/>
  <c r="D60" i="106"/>
  <c r="G60" i="106"/>
  <c r="H60" i="106"/>
  <c r="K60" i="106"/>
  <c r="L60" i="106"/>
  <c r="M60" i="106"/>
  <c r="N60" i="106"/>
  <c r="O60" i="106"/>
  <c r="P60" i="106"/>
  <c r="D56" i="106"/>
  <c r="G56" i="106"/>
  <c r="H56" i="106"/>
  <c r="K56" i="106"/>
  <c r="L56" i="106"/>
  <c r="M56" i="106"/>
  <c r="N56" i="106"/>
  <c r="O56" i="106"/>
  <c r="P56" i="106"/>
  <c r="D33" i="106"/>
  <c r="G33" i="106"/>
  <c r="H33" i="106"/>
  <c r="K33" i="106"/>
  <c r="L33" i="106"/>
  <c r="M33" i="106"/>
  <c r="N33" i="106"/>
  <c r="O33" i="106"/>
  <c r="P33" i="106"/>
  <c r="Q7" i="106"/>
  <c r="Q8" i="106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48" i="106"/>
  <c r="Q49" i="106"/>
  <c r="Q52" i="106"/>
  <c r="Q53" i="106"/>
  <c r="Q54" i="106"/>
  <c r="Q55" i="106"/>
  <c r="Q57" i="106"/>
  <c r="Q58" i="106"/>
  <c r="Q59" i="106"/>
  <c r="Q61" i="106"/>
  <c r="Q62" i="106" s="1"/>
  <c r="Q6" i="106"/>
  <c r="R7" i="106"/>
  <c r="R8" i="106"/>
  <c r="R9" i="106"/>
  <c r="R10" i="106"/>
  <c r="R11" i="106"/>
  <c r="R12" i="106"/>
  <c r="R13" i="106"/>
  <c r="W13" i="106" s="1"/>
  <c r="R14" i="106"/>
  <c r="R15" i="106"/>
  <c r="R16" i="106"/>
  <c r="R17" i="106"/>
  <c r="R18" i="106"/>
  <c r="R19" i="106"/>
  <c r="R20" i="106"/>
  <c r="R21" i="106"/>
  <c r="R22" i="106"/>
  <c r="R23" i="106"/>
  <c r="R24" i="106"/>
  <c r="R25" i="106"/>
  <c r="R26" i="106"/>
  <c r="R27" i="106"/>
  <c r="R28" i="106"/>
  <c r="R29" i="106"/>
  <c r="R30" i="106"/>
  <c r="R31" i="106"/>
  <c r="R32" i="106"/>
  <c r="R34" i="106"/>
  <c r="R35" i="106"/>
  <c r="R36" i="106"/>
  <c r="R37" i="106"/>
  <c r="R38" i="106"/>
  <c r="R39" i="106"/>
  <c r="R40" i="106"/>
  <c r="R41" i="106"/>
  <c r="R42" i="106"/>
  <c r="R43" i="106"/>
  <c r="R44" i="106"/>
  <c r="R45" i="106"/>
  <c r="R46" i="106"/>
  <c r="R47" i="106"/>
  <c r="R48" i="106"/>
  <c r="R49" i="106"/>
  <c r="S50" i="106"/>
  <c r="S51" i="106"/>
  <c r="R52" i="106"/>
  <c r="R53" i="106"/>
  <c r="R54" i="106"/>
  <c r="R55" i="106"/>
  <c r="R57" i="106"/>
  <c r="R58" i="106"/>
  <c r="R59" i="106"/>
  <c r="R61" i="106"/>
  <c r="R6" i="106"/>
  <c r="C62" i="106"/>
  <c r="C60" i="106"/>
  <c r="C56" i="106"/>
  <c r="C33" i="106"/>
  <c r="S58" i="106" l="1"/>
  <c r="W58" i="106"/>
  <c r="S53" i="106"/>
  <c r="W53" i="106"/>
  <c r="S45" i="106"/>
  <c r="W45" i="106"/>
  <c r="S37" i="106"/>
  <c r="W37" i="106"/>
  <c r="S24" i="106"/>
  <c r="W24" i="106"/>
  <c r="S16" i="106"/>
  <c r="W16" i="106"/>
  <c r="S8" i="106"/>
  <c r="W8" i="106"/>
  <c r="S57" i="106"/>
  <c r="W57" i="106"/>
  <c r="S48" i="106"/>
  <c r="W48" i="106"/>
  <c r="S40" i="106"/>
  <c r="W40" i="106"/>
  <c r="S31" i="106"/>
  <c r="W31" i="106"/>
  <c r="S19" i="106"/>
  <c r="W19" i="106"/>
  <c r="S11" i="106"/>
  <c r="W11" i="106"/>
  <c r="S61" i="106"/>
  <c r="W61" i="106"/>
  <c r="S55" i="106"/>
  <c r="W55" i="106"/>
  <c r="S47" i="106"/>
  <c r="W47" i="106"/>
  <c r="S43" i="106"/>
  <c r="W43" i="106"/>
  <c r="S39" i="106"/>
  <c r="W39" i="106"/>
  <c r="S35" i="106"/>
  <c r="W35" i="106"/>
  <c r="S30" i="106"/>
  <c r="W30" i="106"/>
  <c r="S26" i="106"/>
  <c r="W26" i="106"/>
  <c r="S22" i="106"/>
  <c r="W22" i="106"/>
  <c r="S18" i="106"/>
  <c r="W18" i="106"/>
  <c r="S14" i="106"/>
  <c r="W14" i="106"/>
  <c r="S10" i="106"/>
  <c r="W10" i="106"/>
  <c r="S49" i="106"/>
  <c r="W49" i="106"/>
  <c r="S41" i="106"/>
  <c r="W41" i="106"/>
  <c r="S32" i="106"/>
  <c r="W32" i="106"/>
  <c r="S28" i="106"/>
  <c r="W28" i="106"/>
  <c r="S20" i="106"/>
  <c r="W20" i="106"/>
  <c r="S12" i="106"/>
  <c r="W12" i="106"/>
  <c r="S6" i="106"/>
  <c r="W6" i="106"/>
  <c r="S52" i="106"/>
  <c r="W52" i="106"/>
  <c r="S44" i="106"/>
  <c r="W44" i="106"/>
  <c r="S36" i="106"/>
  <c r="W36" i="106"/>
  <c r="S27" i="106"/>
  <c r="W27" i="106"/>
  <c r="S23" i="106"/>
  <c r="W23" i="106"/>
  <c r="S15" i="106"/>
  <c r="W15" i="106"/>
  <c r="S7" i="106"/>
  <c r="W7" i="106"/>
  <c r="S59" i="106"/>
  <c r="W59" i="106"/>
  <c r="S54" i="106"/>
  <c r="W54" i="106"/>
  <c r="S46" i="106"/>
  <c r="W46" i="106"/>
  <c r="S42" i="106"/>
  <c r="W42" i="106"/>
  <c r="S38" i="106"/>
  <c r="W38" i="106"/>
  <c r="S34" i="106"/>
  <c r="W34" i="106"/>
  <c r="S29" i="106"/>
  <c r="W29" i="106"/>
  <c r="S25" i="106"/>
  <c r="W25" i="106"/>
  <c r="S21" i="106"/>
  <c r="W21" i="106"/>
  <c r="S17" i="106"/>
  <c r="W17" i="106"/>
  <c r="S9" i="106"/>
  <c r="W9" i="106"/>
  <c r="S13" i="106"/>
  <c r="P63" i="106"/>
  <c r="D63" i="106"/>
  <c r="M63" i="106"/>
  <c r="H63" i="106"/>
  <c r="Q60" i="106"/>
  <c r="R62" i="106"/>
  <c r="W62" i="106" s="1"/>
  <c r="R60" i="106"/>
  <c r="W60" i="106" s="1"/>
  <c r="R56" i="106"/>
  <c r="W56" i="106" s="1"/>
  <c r="Q56" i="106"/>
  <c r="O63" i="106"/>
  <c r="G63" i="106"/>
  <c r="N63" i="106"/>
  <c r="R33" i="106"/>
  <c r="W33" i="106" s="1"/>
  <c r="L63" i="106"/>
  <c r="Q33" i="106"/>
  <c r="K63" i="106"/>
  <c r="C63" i="106"/>
  <c r="V59" i="105"/>
  <c r="X59" i="105" s="1"/>
  <c r="N52" i="103"/>
  <c r="Q52" i="107" s="1"/>
  <c r="W52" i="105" s="1"/>
  <c r="X52" i="105" s="1"/>
  <c r="V50" i="105"/>
  <c r="X50" i="105" s="1"/>
  <c r="V42" i="105"/>
  <c r="X42" i="105" s="1"/>
  <c r="V35" i="105"/>
  <c r="X35" i="105" s="1"/>
  <c r="V28" i="105"/>
  <c r="X28" i="105" s="1"/>
  <c r="V27" i="105"/>
  <c r="X27" i="105" s="1"/>
  <c r="Q32" i="107" l="1"/>
  <c r="W32" i="105" s="1"/>
  <c r="X32" i="105" s="1"/>
  <c r="O33" i="107"/>
  <c r="V18" i="105"/>
  <c r="X18" i="105" s="1"/>
  <c r="T33" i="105"/>
  <c r="O60" i="107"/>
  <c r="Q57" i="107"/>
  <c r="W57" i="105" s="1"/>
  <c r="X57" i="105" s="1"/>
  <c r="Q63" i="106"/>
  <c r="R63" i="106"/>
  <c r="W63" i="106" s="1"/>
  <c r="E7" i="15"/>
  <c r="E9" i="15"/>
  <c r="Z9" i="105"/>
  <c r="E11" i="15"/>
  <c r="E13" i="15"/>
  <c r="Z13" i="105"/>
  <c r="E14" i="15"/>
  <c r="E15" i="15"/>
  <c r="Z15" i="105"/>
  <c r="E16" i="15"/>
  <c r="E17" i="15"/>
  <c r="E18" i="15"/>
  <c r="E19" i="15"/>
  <c r="E20" i="15"/>
  <c r="E21" i="15"/>
  <c r="Z21" i="105"/>
  <c r="E22" i="15"/>
  <c r="E23" i="15"/>
  <c r="E25" i="15"/>
  <c r="Z25" i="105"/>
  <c r="E26" i="15"/>
  <c r="E28" i="15"/>
  <c r="E29" i="15"/>
  <c r="E30" i="15"/>
  <c r="E31" i="15"/>
  <c r="E32" i="15"/>
  <c r="E34" i="15"/>
  <c r="E35" i="15"/>
  <c r="E36" i="15"/>
  <c r="Z36" i="105"/>
  <c r="E37" i="15"/>
  <c r="E38" i="15"/>
  <c r="E39" i="15"/>
  <c r="E40" i="15"/>
  <c r="Z40" i="105"/>
  <c r="E41" i="15"/>
  <c r="Z41" i="105"/>
  <c r="E42" i="15"/>
  <c r="E43" i="15"/>
  <c r="E45" i="15"/>
  <c r="E46" i="15"/>
  <c r="E47" i="15"/>
  <c r="E48" i="15"/>
  <c r="Z48" i="105"/>
  <c r="E49" i="15"/>
  <c r="E50" i="15"/>
  <c r="E51" i="15"/>
  <c r="E52" i="15"/>
  <c r="E53" i="15"/>
  <c r="E54" i="15"/>
  <c r="E55" i="15"/>
  <c r="E57" i="15"/>
  <c r="E58" i="15"/>
  <c r="E59" i="15"/>
  <c r="V6" i="105"/>
  <c r="U6" i="105"/>
  <c r="E24" i="15"/>
  <c r="D62" i="105"/>
  <c r="E62" i="105"/>
  <c r="F62" i="105"/>
  <c r="G62" i="105"/>
  <c r="H62" i="105"/>
  <c r="I62" i="105"/>
  <c r="J62" i="105"/>
  <c r="M62" i="105"/>
  <c r="O62" i="111" s="1"/>
  <c r="N62" i="105"/>
  <c r="P62" i="111" s="1"/>
  <c r="O62" i="105"/>
  <c r="P62" i="105"/>
  <c r="Q62" i="105"/>
  <c r="R62" i="105"/>
  <c r="S62" i="105"/>
  <c r="T62" i="105"/>
  <c r="C62" i="105"/>
  <c r="U62" i="105" s="1"/>
  <c r="D60" i="105"/>
  <c r="E60" i="105"/>
  <c r="F60" i="105"/>
  <c r="G60" i="105"/>
  <c r="H60" i="105"/>
  <c r="I60" i="105"/>
  <c r="J60" i="105"/>
  <c r="M60" i="105"/>
  <c r="O60" i="111" s="1"/>
  <c r="N60" i="105"/>
  <c r="P60" i="111" s="1"/>
  <c r="O60" i="105"/>
  <c r="P60" i="105"/>
  <c r="Q60" i="105"/>
  <c r="R60" i="105"/>
  <c r="S60" i="105"/>
  <c r="T60" i="105"/>
  <c r="C60" i="105"/>
  <c r="D56" i="105"/>
  <c r="E56" i="105"/>
  <c r="F56" i="105"/>
  <c r="G56" i="105"/>
  <c r="H56" i="105"/>
  <c r="H63" i="105" s="1"/>
  <c r="I56" i="105"/>
  <c r="I63" i="105" s="1"/>
  <c r="J56" i="105"/>
  <c r="M56" i="105"/>
  <c r="N56" i="105"/>
  <c r="O56" i="105"/>
  <c r="O63" i="105" s="1"/>
  <c r="P56" i="105"/>
  <c r="Q56" i="105"/>
  <c r="Q63" i="105" s="1"/>
  <c r="R56" i="105"/>
  <c r="S56" i="105"/>
  <c r="S63" i="105" s="1"/>
  <c r="T56" i="105"/>
  <c r="C56" i="105"/>
  <c r="D33" i="105"/>
  <c r="D63" i="105" s="1"/>
  <c r="D68" i="105" s="1"/>
  <c r="E33" i="105"/>
  <c r="E63" i="105" s="1"/>
  <c r="F33" i="105"/>
  <c r="F63" i="105" s="1"/>
  <c r="G63" i="105"/>
  <c r="J63" i="105"/>
  <c r="P63" i="105"/>
  <c r="C33" i="105"/>
  <c r="R7" i="107"/>
  <c r="R9" i="107"/>
  <c r="R11" i="107"/>
  <c r="R13" i="107"/>
  <c r="R14" i="107"/>
  <c r="R15" i="107"/>
  <c r="R16" i="107"/>
  <c r="R17" i="107"/>
  <c r="R18" i="107"/>
  <c r="R19" i="107"/>
  <c r="R21" i="107"/>
  <c r="R22" i="107"/>
  <c r="R25" i="107"/>
  <c r="R26" i="107"/>
  <c r="R27" i="107"/>
  <c r="R28" i="107"/>
  <c r="R29" i="107"/>
  <c r="R30" i="107"/>
  <c r="R31" i="107"/>
  <c r="R34" i="107"/>
  <c r="R35" i="107"/>
  <c r="R36" i="107"/>
  <c r="R37" i="107"/>
  <c r="R38" i="107"/>
  <c r="R39" i="107"/>
  <c r="R40" i="107"/>
  <c r="R41" i="107"/>
  <c r="R42" i="107"/>
  <c r="R43" i="107"/>
  <c r="R45" i="107"/>
  <c r="R46" i="107"/>
  <c r="R47" i="107"/>
  <c r="R48" i="107"/>
  <c r="R49" i="107"/>
  <c r="R50" i="107"/>
  <c r="R51" i="107"/>
  <c r="R53" i="107"/>
  <c r="R54" i="107"/>
  <c r="R57" i="107"/>
  <c r="R58" i="107"/>
  <c r="R61" i="107"/>
  <c r="R32" i="107"/>
  <c r="R59" i="107"/>
  <c r="C62" i="107"/>
  <c r="C60" i="107"/>
  <c r="C56" i="107"/>
  <c r="C33" i="107"/>
  <c r="T57" i="103"/>
  <c r="T58" i="103"/>
  <c r="T59" i="103"/>
  <c r="T61" i="103"/>
  <c r="T34" i="103"/>
  <c r="T35" i="103"/>
  <c r="T36" i="103"/>
  <c r="T37" i="103"/>
  <c r="T38" i="103"/>
  <c r="T39" i="103"/>
  <c r="T40" i="103"/>
  <c r="T41" i="103"/>
  <c r="T42" i="103"/>
  <c r="T43" i="103"/>
  <c r="T45" i="103"/>
  <c r="T47" i="103"/>
  <c r="T48" i="103"/>
  <c r="T49" i="103"/>
  <c r="T50" i="103"/>
  <c r="T51" i="103"/>
  <c r="T53" i="103"/>
  <c r="T54" i="103"/>
  <c r="T7" i="103"/>
  <c r="T8" i="103"/>
  <c r="T9" i="103"/>
  <c r="T10" i="103"/>
  <c r="T11" i="103"/>
  <c r="T12" i="103"/>
  <c r="T13" i="103"/>
  <c r="T14" i="103"/>
  <c r="T15" i="103"/>
  <c r="T16" i="103"/>
  <c r="T17" i="103"/>
  <c r="T18" i="103"/>
  <c r="T19" i="103"/>
  <c r="T21" i="103"/>
  <c r="T22" i="103"/>
  <c r="T23" i="103"/>
  <c r="T25" i="103"/>
  <c r="T26" i="103"/>
  <c r="T27" i="103"/>
  <c r="T28" i="103"/>
  <c r="T29" i="103"/>
  <c r="T30" i="103"/>
  <c r="T31" i="103"/>
  <c r="T32" i="103"/>
  <c r="T20" i="103"/>
  <c r="T44" i="103"/>
  <c r="T46" i="103"/>
  <c r="T55" i="103"/>
  <c r="N6" i="103"/>
  <c r="M6" i="103"/>
  <c r="D62" i="103"/>
  <c r="E62" i="103"/>
  <c r="F62" i="103"/>
  <c r="G62" i="103"/>
  <c r="H62" i="103"/>
  <c r="I62" i="103"/>
  <c r="J62" i="103"/>
  <c r="K62" i="103"/>
  <c r="L62" i="103"/>
  <c r="C62" i="103"/>
  <c r="D60" i="103"/>
  <c r="E60" i="103"/>
  <c r="F60" i="103"/>
  <c r="G60" i="103"/>
  <c r="H60" i="103"/>
  <c r="I60" i="103"/>
  <c r="J60" i="103"/>
  <c r="K60" i="103"/>
  <c r="L60" i="103"/>
  <c r="C60" i="103"/>
  <c r="M60" i="103" s="1"/>
  <c r="D56" i="103"/>
  <c r="E56" i="103"/>
  <c r="F56" i="103"/>
  <c r="G56" i="103"/>
  <c r="H56" i="103"/>
  <c r="I56" i="103"/>
  <c r="J56" i="103"/>
  <c r="K56" i="103"/>
  <c r="L56" i="103"/>
  <c r="C56" i="103"/>
  <c r="C33" i="103"/>
  <c r="M33" i="103" s="1"/>
  <c r="Q33" i="107" l="1"/>
  <c r="W33" i="105" s="1"/>
  <c r="U60" i="105"/>
  <c r="R63" i="105"/>
  <c r="U56" i="105"/>
  <c r="V33" i="105"/>
  <c r="N60" i="103"/>
  <c r="T60" i="103" s="1"/>
  <c r="C63" i="107"/>
  <c r="C63" i="105"/>
  <c r="U33" i="105"/>
  <c r="M62" i="103"/>
  <c r="T6" i="103"/>
  <c r="V56" i="105"/>
  <c r="V60" i="105"/>
  <c r="V62" i="105"/>
  <c r="M56" i="103"/>
  <c r="N56" i="103"/>
  <c r="Q56" i="107" s="1"/>
  <c r="W56" i="105" s="1"/>
  <c r="N62" i="103"/>
  <c r="Q62" i="107" s="1"/>
  <c r="W62" i="105" s="1"/>
  <c r="X62" i="105" s="1"/>
  <c r="Q60" i="107"/>
  <c r="W60" i="105" s="1"/>
  <c r="O63" i="107"/>
  <c r="Z44" i="105"/>
  <c r="Z7" i="105"/>
  <c r="Z29" i="105"/>
  <c r="Z14" i="105"/>
  <c r="Z16" i="105"/>
  <c r="Z57" i="105"/>
  <c r="Z54" i="105"/>
  <c r="Z27" i="105"/>
  <c r="Z11" i="105"/>
  <c r="Z30" i="105"/>
  <c r="Z23" i="105"/>
  <c r="Z8" i="105"/>
  <c r="Z38" i="105"/>
  <c r="Z34" i="105"/>
  <c r="Z31" i="105"/>
  <c r="E10" i="15"/>
  <c r="E8" i="15"/>
  <c r="Z58" i="105"/>
  <c r="Z51" i="105"/>
  <c r="Z47" i="105"/>
  <c r="Z43" i="105"/>
  <c r="Z39" i="105"/>
  <c r="Z35" i="105"/>
  <c r="R8" i="107"/>
  <c r="R10" i="107"/>
  <c r="R12" i="107"/>
  <c r="Z12" i="105"/>
  <c r="N63" i="105"/>
  <c r="P33" i="111"/>
  <c r="M63" i="105"/>
  <c r="O33" i="111"/>
  <c r="Z45" i="105"/>
  <c r="R55" i="107"/>
  <c r="Z55" i="105"/>
  <c r="Z61" i="105"/>
  <c r="Z17" i="105"/>
  <c r="Z53" i="105"/>
  <c r="Z37" i="105"/>
  <c r="Z28" i="105"/>
  <c r="Z49" i="105"/>
  <c r="Z24" i="105"/>
  <c r="T24" i="103"/>
  <c r="R24" i="107"/>
  <c r="Z59" i="105"/>
  <c r="R52" i="107"/>
  <c r="Z52" i="105"/>
  <c r="T52" i="103"/>
  <c r="Z50" i="105"/>
  <c r="Z46" i="105"/>
  <c r="Z42" i="105"/>
  <c r="T63" i="105"/>
  <c r="T68" i="105" s="1"/>
  <c r="Z32" i="105"/>
  <c r="Z26" i="105"/>
  <c r="R23" i="107"/>
  <c r="Z22" i="105"/>
  <c r="Z19" i="105"/>
  <c r="Z18" i="105"/>
  <c r="Z10" i="105"/>
  <c r="K63" i="103"/>
  <c r="G63" i="103"/>
  <c r="T33" i="103"/>
  <c r="L63" i="103"/>
  <c r="H63" i="103"/>
  <c r="D63" i="103"/>
  <c r="J63" i="103"/>
  <c r="F63" i="103"/>
  <c r="F67" i="103" s="1"/>
  <c r="C63" i="103"/>
  <c r="I63" i="103"/>
  <c r="E63" i="103"/>
  <c r="L67" i="103" l="1"/>
  <c r="J67" i="103"/>
  <c r="O67" i="107"/>
  <c r="X33" i="105"/>
  <c r="F70" i="107"/>
  <c r="F72" i="107" s="1"/>
  <c r="F73" i="107" s="1"/>
  <c r="N68" i="105"/>
  <c r="X60" i="105"/>
  <c r="U63" i="105"/>
  <c r="T56" i="103"/>
  <c r="M63" i="103"/>
  <c r="V63" i="105"/>
  <c r="V68" i="105" s="1"/>
  <c r="X56" i="105"/>
  <c r="N63" i="103"/>
  <c r="R44" i="107"/>
  <c r="P63" i="111"/>
  <c r="O63" i="111"/>
  <c r="Z20" i="105"/>
  <c r="R20" i="107"/>
  <c r="M6" i="9"/>
  <c r="N6" i="9" s="1"/>
  <c r="K7" i="9"/>
  <c r="L7" i="9" s="1"/>
  <c r="K8" i="9"/>
  <c r="L8" i="9" s="1"/>
  <c r="K9" i="9"/>
  <c r="L9" i="9" s="1"/>
  <c r="K10" i="9"/>
  <c r="L10" i="9" s="1"/>
  <c r="K11" i="9"/>
  <c r="L11" i="9" s="1"/>
  <c r="K12" i="9"/>
  <c r="L12" i="9" s="1"/>
  <c r="K13" i="9"/>
  <c r="L13" i="9" s="1"/>
  <c r="K14" i="9"/>
  <c r="L14" i="9" s="1"/>
  <c r="K15" i="9"/>
  <c r="L15" i="9" s="1"/>
  <c r="K16" i="9"/>
  <c r="L16" i="9" s="1"/>
  <c r="K17" i="9"/>
  <c r="L17" i="9" s="1"/>
  <c r="K18" i="9"/>
  <c r="L18" i="9" s="1"/>
  <c r="K19" i="9"/>
  <c r="L19" i="9" s="1"/>
  <c r="K20" i="9"/>
  <c r="L20" i="9" s="1"/>
  <c r="K21" i="9"/>
  <c r="L21" i="9" s="1"/>
  <c r="K22" i="9"/>
  <c r="L22" i="9" s="1"/>
  <c r="K23" i="9"/>
  <c r="L23" i="9" s="1"/>
  <c r="K24" i="9"/>
  <c r="L24" i="9" s="1"/>
  <c r="K25" i="9"/>
  <c r="L25" i="9" s="1"/>
  <c r="K26" i="9"/>
  <c r="L26" i="9" s="1"/>
  <c r="K27" i="9"/>
  <c r="L27" i="9" s="1"/>
  <c r="K28" i="9"/>
  <c r="L28" i="9" s="1"/>
  <c r="K29" i="9"/>
  <c r="L29" i="9" s="1"/>
  <c r="K30" i="9"/>
  <c r="L30" i="9" s="1"/>
  <c r="K31" i="9"/>
  <c r="L31" i="9" s="1"/>
  <c r="K32" i="9"/>
  <c r="L32" i="9" s="1"/>
  <c r="K34" i="9"/>
  <c r="L34" i="9" s="1"/>
  <c r="K35" i="9"/>
  <c r="L35" i="9" s="1"/>
  <c r="K36" i="9"/>
  <c r="L36" i="9" s="1"/>
  <c r="K37" i="9"/>
  <c r="L37" i="9" s="1"/>
  <c r="K38" i="9"/>
  <c r="L38" i="9" s="1"/>
  <c r="K39" i="9"/>
  <c r="L39" i="9" s="1"/>
  <c r="K40" i="9"/>
  <c r="L40" i="9" s="1"/>
  <c r="K41" i="9"/>
  <c r="L41" i="9" s="1"/>
  <c r="K42" i="9"/>
  <c r="L42" i="9" s="1"/>
  <c r="K43" i="9"/>
  <c r="L43" i="9" s="1"/>
  <c r="K44" i="9"/>
  <c r="L44" i="9" s="1"/>
  <c r="K45" i="9"/>
  <c r="L45" i="9" s="1"/>
  <c r="K46" i="9"/>
  <c r="L46" i="9" s="1"/>
  <c r="K47" i="9"/>
  <c r="L47" i="9" s="1"/>
  <c r="K48" i="9"/>
  <c r="L48" i="9" s="1"/>
  <c r="K49" i="9"/>
  <c r="L49" i="9" s="1"/>
  <c r="K50" i="9"/>
  <c r="L50" i="9" s="1"/>
  <c r="K51" i="9"/>
  <c r="L51" i="9" s="1"/>
  <c r="K52" i="9"/>
  <c r="L52" i="9" s="1"/>
  <c r="K53" i="9"/>
  <c r="L53" i="9" s="1"/>
  <c r="K54" i="9"/>
  <c r="L54" i="9" s="1"/>
  <c r="K55" i="9"/>
  <c r="L55" i="9" s="1"/>
  <c r="K57" i="9"/>
  <c r="L57" i="9" s="1"/>
  <c r="K58" i="9"/>
  <c r="L58" i="9" s="1"/>
  <c r="K59" i="9"/>
  <c r="L59" i="9" s="1"/>
  <c r="K61" i="9"/>
  <c r="L61" i="9" s="1"/>
  <c r="K6" i="9"/>
  <c r="L6" i="9" s="1"/>
  <c r="T63" i="103" l="1"/>
  <c r="N67" i="103"/>
  <c r="K12" i="104"/>
  <c r="P12" i="107" s="1"/>
  <c r="E12" i="15" s="1"/>
  <c r="C33" i="104"/>
  <c r="K33" i="104" s="1"/>
  <c r="P33" i="107" s="1"/>
  <c r="E33" i="15" s="1"/>
  <c r="M61" i="104"/>
  <c r="C62" i="104"/>
  <c r="K62" i="104" s="1"/>
  <c r="P62" i="107" s="1"/>
  <c r="C60" i="104"/>
  <c r="K60" i="104" s="1"/>
  <c r="P60" i="107" s="1"/>
  <c r="E60" i="15" s="1"/>
  <c r="C56" i="104"/>
  <c r="K56" i="104" s="1"/>
  <c r="P56" i="107" s="1"/>
  <c r="E44" i="15"/>
  <c r="L6" i="104"/>
  <c r="K6" i="104"/>
  <c r="P6" i="107" s="1"/>
  <c r="E6" i="15" s="1"/>
  <c r="Q6" i="107" l="1"/>
  <c r="L63" i="104"/>
  <c r="E62" i="15"/>
  <c r="E61" i="15"/>
  <c r="C63" i="104"/>
  <c r="K63" i="104" s="1"/>
  <c r="P63" i="107" s="1"/>
  <c r="M59" i="104"/>
  <c r="M54" i="104"/>
  <c r="M50" i="104"/>
  <c r="M48" i="104"/>
  <c r="M44" i="104"/>
  <c r="M42" i="104"/>
  <c r="M38" i="104"/>
  <c r="M36" i="104"/>
  <c r="M26" i="104"/>
  <c r="M22" i="104"/>
  <c r="M30" i="104"/>
  <c r="M28" i="104"/>
  <c r="M18" i="104"/>
  <c r="M14" i="104"/>
  <c r="M9" i="104"/>
  <c r="M7" i="104"/>
  <c r="M6" i="104"/>
  <c r="M57" i="104"/>
  <c r="M52" i="104"/>
  <c r="M46" i="104"/>
  <c r="M40" i="104"/>
  <c r="M34" i="104"/>
  <c r="M24" i="104"/>
  <c r="M32" i="104"/>
  <c r="M20" i="104"/>
  <c r="M16" i="104"/>
  <c r="M12" i="104"/>
  <c r="M58" i="104"/>
  <c r="M55" i="104"/>
  <c r="M53" i="104"/>
  <c r="M51" i="104"/>
  <c r="M49" i="104"/>
  <c r="M47" i="104"/>
  <c r="M45" i="104"/>
  <c r="M43" i="104"/>
  <c r="M41" i="104"/>
  <c r="M39" i="104"/>
  <c r="M37" i="104"/>
  <c r="M35" i="104"/>
  <c r="M27" i="104"/>
  <c r="M25" i="104"/>
  <c r="M23" i="104"/>
  <c r="M11" i="104"/>
  <c r="M31" i="104"/>
  <c r="M29" i="104"/>
  <c r="M21" i="104"/>
  <c r="M19" i="104"/>
  <c r="M17" i="104"/>
  <c r="M15" i="104"/>
  <c r="M13" i="104"/>
  <c r="M10" i="104"/>
  <c r="M8" i="104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7" i="9"/>
  <c r="G58" i="9"/>
  <c r="G59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7" i="9"/>
  <c r="H58" i="9"/>
  <c r="H59" i="9"/>
  <c r="H61" i="9"/>
  <c r="H6" i="9"/>
  <c r="G6" i="9"/>
  <c r="R63" i="104" l="1"/>
  <c r="W6" i="105"/>
  <c r="X6" i="105" s="1"/>
  <c r="Z6" i="105" s="1"/>
  <c r="R6" i="107"/>
  <c r="Q63" i="107"/>
  <c r="E56" i="15"/>
  <c r="E63" i="15"/>
  <c r="S33" i="106"/>
  <c r="E56" i="7"/>
  <c r="E33" i="7"/>
  <c r="D62" i="7"/>
  <c r="E62" i="7"/>
  <c r="G62" i="7"/>
  <c r="H62" i="7"/>
  <c r="C62" i="7"/>
  <c r="K62" i="9" s="1"/>
  <c r="D60" i="7"/>
  <c r="E60" i="7"/>
  <c r="F60" i="7"/>
  <c r="G60" i="7"/>
  <c r="H60" i="7"/>
  <c r="C60" i="7"/>
  <c r="D56" i="7"/>
  <c r="F56" i="7"/>
  <c r="G56" i="7"/>
  <c r="H56" i="7"/>
  <c r="C56" i="7"/>
  <c r="D33" i="7"/>
  <c r="F33" i="7"/>
  <c r="M33" i="9" s="1"/>
  <c r="N33" i="9" s="1"/>
  <c r="G33" i="7"/>
  <c r="H33" i="7"/>
  <c r="C33" i="7"/>
  <c r="W63" i="105" l="1"/>
  <c r="X63" i="105" s="1"/>
  <c r="Q67" i="107"/>
  <c r="K33" i="9"/>
  <c r="M56" i="9"/>
  <c r="N56" i="9" s="1"/>
  <c r="M60" i="9"/>
  <c r="N60" i="9" s="1"/>
  <c r="G63" i="7"/>
  <c r="K60" i="9"/>
  <c r="L60" i="9" s="1"/>
  <c r="J56" i="9"/>
  <c r="Y62" i="105"/>
  <c r="Z62" i="105" s="1"/>
  <c r="F62" i="15"/>
  <c r="G62" i="15" s="1"/>
  <c r="S56" i="106"/>
  <c r="Y56" i="105"/>
  <c r="Z56" i="105" s="1"/>
  <c r="F56" i="15"/>
  <c r="G56" i="15" s="1"/>
  <c r="S60" i="106"/>
  <c r="Y60" i="105"/>
  <c r="Z60" i="105" s="1"/>
  <c r="F60" i="15"/>
  <c r="G60" i="15" s="1"/>
  <c r="J60" i="9"/>
  <c r="K56" i="9"/>
  <c r="L56" i="9" s="1"/>
  <c r="S62" i="106"/>
  <c r="R60" i="107"/>
  <c r="M60" i="104"/>
  <c r="R56" i="107"/>
  <c r="R33" i="107"/>
  <c r="Z33" i="105"/>
  <c r="M33" i="104"/>
  <c r="L62" i="9"/>
  <c r="R62" i="107"/>
  <c r="M62" i="104"/>
  <c r="M56" i="104"/>
  <c r="L33" i="9"/>
  <c r="G33" i="9"/>
  <c r="H33" i="9"/>
  <c r="H62" i="9"/>
  <c r="H60" i="9"/>
  <c r="H56" i="9"/>
  <c r="C63" i="7"/>
  <c r="H63" i="7"/>
  <c r="D63" i="7"/>
  <c r="E63" i="7"/>
  <c r="F63" i="15" l="1"/>
  <c r="G63" i="15" s="1"/>
  <c r="Y63" i="105"/>
  <c r="Z63" i="105" s="1"/>
  <c r="S63" i="106"/>
  <c r="M63" i="104"/>
  <c r="R63" i="107"/>
  <c r="R67" i="107" s="1"/>
  <c r="K63" i="9"/>
  <c r="L63" i="9" s="1"/>
  <c r="H63" i="9"/>
  <c r="G60" i="3"/>
  <c r="G58" i="3"/>
  <c r="G54" i="3"/>
  <c r="G31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5" i="3"/>
  <c r="F56" i="3"/>
  <c r="F57" i="3"/>
  <c r="F59" i="3"/>
  <c r="F4" i="3"/>
  <c r="F60" i="3" l="1"/>
  <c r="F58" i="3"/>
  <c r="G61" i="3"/>
  <c r="F54" i="3"/>
  <c r="F31" i="3"/>
  <c r="D60" i="3"/>
  <c r="E60" i="3"/>
  <c r="C60" i="3"/>
  <c r="D58" i="3"/>
  <c r="E58" i="3"/>
  <c r="C58" i="3"/>
  <c r="D54" i="3"/>
  <c r="E54" i="3"/>
  <c r="C54" i="3"/>
  <c r="D31" i="3"/>
  <c r="E31" i="3"/>
  <c r="C31" i="3"/>
  <c r="F61" i="3" l="1"/>
  <c r="E61" i="3"/>
  <c r="C61" i="3"/>
  <c r="D61" i="3"/>
  <c r="H20" i="15"/>
  <c r="I20" i="15" s="1"/>
  <c r="H25" i="15"/>
  <c r="I25" i="15" s="1"/>
  <c r="H38" i="15"/>
  <c r="I38" i="15" s="1"/>
  <c r="H55" i="15"/>
  <c r="I55" i="15" s="1"/>
  <c r="H54" i="15"/>
  <c r="I54" i="15" s="1"/>
  <c r="H53" i="15"/>
  <c r="I53" i="15" s="1"/>
  <c r="H50" i="15"/>
  <c r="I50" i="15" s="1"/>
  <c r="H48" i="15"/>
  <c r="I48" i="15" s="1"/>
  <c r="H43" i="15"/>
  <c r="I43" i="15" s="1"/>
  <c r="H36" i="15"/>
  <c r="I36" i="15" s="1"/>
  <c r="H30" i="15"/>
  <c r="I30" i="15" s="1"/>
  <c r="H15" i="15"/>
  <c r="I15" i="15" s="1"/>
  <c r="H11" i="15"/>
  <c r="I11" i="15" s="1"/>
  <c r="H9" i="15"/>
  <c r="I9" i="15" s="1"/>
  <c r="H7" i="15"/>
  <c r="I7" i="15" s="1"/>
  <c r="H42" i="15"/>
  <c r="I42" i="15" s="1"/>
  <c r="H31" i="15"/>
  <c r="I31" i="15" s="1"/>
  <c r="H13" i="15"/>
  <c r="I13" i="15" s="1"/>
  <c r="P10" i="85"/>
  <c r="H8" i="15"/>
  <c r="I8" i="15" s="1"/>
  <c r="K44" i="7"/>
  <c r="I45" i="7"/>
  <c r="J45" i="7"/>
  <c r="K45" i="7"/>
  <c r="Q55" i="93"/>
  <c r="Q48" i="93"/>
  <c r="Q47" i="93"/>
  <c r="Q45" i="93"/>
  <c r="Q40" i="93"/>
  <c r="Q39" i="93"/>
  <c r="Q32" i="93"/>
  <c r="Q28" i="93"/>
  <c r="Q26" i="93"/>
  <c r="Q25" i="93"/>
  <c r="Q23" i="93"/>
  <c r="Q22" i="93"/>
  <c r="Q21" i="93"/>
  <c r="Q18" i="93"/>
  <c r="Q17" i="93"/>
  <c r="Q14" i="93"/>
  <c r="Q13" i="93"/>
  <c r="Q12" i="93"/>
  <c r="Q11" i="93"/>
  <c r="Q10" i="93"/>
  <c r="Q9" i="93"/>
  <c r="Q7" i="93"/>
  <c r="P6" i="93"/>
  <c r="O6" i="93"/>
  <c r="I59" i="73"/>
  <c r="D59" i="73"/>
  <c r="C59" i="73"/>
  <c r="M59" i="108" s="1"/>
  <c r="O59" i="109" s="1"/>
  <c r="H58" i="73"/>
  <c r="H60" i="73" s="1"/>
  <c r="H63" i="73" s="1"/>
  <c r="D58" i="73"/>
  <c r="C58" i="73"/>
  <c r="L6" i="73"/>
  <c r="G6" i="73"/>
  <c r="K18" i="7"/>
  <c r="K26" i="7"/>
  <c r="I60" i="7"/>
  <c r="K60" i="7"/>
  <c r="I33" i="7"/>
  <c r="K53" i="7"/>
  <c r="K52" i="7"/>
  <c r="K7" i="7"/>
  <c r="K9" i="7"/>
  <c r="K10" i="7"/>
  <c r="K11" i="7"/>
  <c r="K12" i="7"/>
  <c r="K13" i="7"/>
  <c r="K14" i="7"/>
  <c r="K15" i="7"/>
  <c r="K16" i="7"/>
  <c r="K17" i="7"/>
  <c r="K19" i="7"/>
  <c r="K20" i="7"/>
  <c r="K21" i="7"/>
  <c r="K27" i="7"/>
  <c r="K28" i="7"/>
  <c r="K29" i="7"/>
  <c r="K30" i="7"/>
  <c r="K32" i="7"/>
  <c r="K34" i="7"/>
  <c r="K35" i="7"/>
  <c r="K36" i="7"/>
  <c r="K37" i="7"/>
  <c r="K38" i="7"/>
  <c r="K39" i="7"/>
  <c r="K40" i="7"/>
  <c r="K41" i="7"/>
  <c r="K42" i="7"/>
  <c r="K46" i="7"/>
  <c r="K57" i="7"/>
  <c r="K58" i="7"/>
  <c r="K59" i="7"/>
  <c r="K61" i="7"/>
  <c r="J7" i="7"/>
  <c r="J8" i="7"/>
  <c r="J9" i="7"/>
  <c r="J10" i="7"/>
  <c r="J12" i="7"/>
  <c r="J13" i="7"/>
  <c r="J14" i="7"/>
  <c r="J15" i="7"/>
  <c r="J16" i="7"/>
  <c r="J17" i="7"/>
  <c r="J18" i="7"/>
  <c r="J19" i="7"/>
  <c r="J20" i="7"/>
  <c r="J21" i="7"/>
  <c r="J27" i="7"/>
  <c r="J28" i="7"/>
  <c r="J29" i="7"/>
  <c r="J30" i="7"/>
  <c r="J32" i="7"/>
  <c r="J34" i="7"/>
  <c r="J35" i="7"/>
  <c r="J42" i="7"/>
  <c r="J43" i="7"/>
  <c r="J57" i="7"/>
  <c r="J58" i="7"/>
  <c r="J59" i="7"/>
  <c r="J61" i="7"/>
  <c r="I8" i="7"/>
  <c r="I9" i="7"/>
  <c r="I10" i="7"/>
  <c r="I12" i="7"/>
  <c r="I13" i="7"/>
  <c r="I14" i="7"/>
  <c r="I15" i="7"/>
  <c r="I16" i="7"/>
  <c r="I18" i="7"/>
  <c r="I19" i="7"/>
  <c r="I20" i="7"/>
  <c r="I21" i="7"/>
  <c r="I27" i="7"/>
  <c r="I28" i="7"/>
  <c r="I29" i="7"/>
  <c r="I30" i="7"/>
  <c r="I32" i="7"/>
  <c r="I34" i="7"/>
  <c r="I35" i="7"/>
  <c r="I42" i="7"/>
  <c r="I43" i="7"/>
  <c r="I57" i="7"/>
  <c r="I58" i="7"/>
  <c r="I59" i="7"/>
  <c r="J6" i="7"/>
  <c r="K6" i="7"/>
  <c r="I6" i="7"/>
  <c r="K24" i="7"/>
  <c r="J33" i="7"/>
  <c r="P14" i="78"/>
  <c r="O14" i="78" s="1"/>
  <c r="P17" i="78"/>
  <c r="O17" i="78" s="1"/>
  <c r="J55" i="101"/>
  <c r="I55" i="101"/>
  <c r="H55" i="101"/>
  <c r="G55" i="101"/>
  <c r="F55" i="101"/>
  <c r="E55" i="101"/>
  <c r="D55" i="101"/>
  <c r="C55" i="101"/>
  <c r="J56" i="7"/>
  <c r="H22" i="15"/>
  <c r="I22" i="15" s="1"/>
  <c r="H32" i="15"/>
  <c r="I32" i="15" s="1"/>
  <c r="H37" i="15"/>
  <c r="I37" i="15" s="1"/>
  <c r="H27" i="15"/>
  <c r="H6" i="15"/>
  <c r="I6" i="15" s="1"/>
  <c r="K62" i="7"/>
  <c r="K51" i="7"/>
  <c r="K55" i="7"/>
  <c r="K48" i="7"/>
  <c r="K54" i="7"/>
  <c r="K31" i="7"/>
  <c r="K47" i="7"/>
  <c r="K25" i="7"/>
  <c r="P36" i="78"/>
  <c r="O36" i="78" s="1"/>
  <c r="K22" i="7"/>
  <c r="M58" i="108" l="1"/>
  <c r="C60" i="73"/>
  <c r="C63" i="73" s="1"/>
  <c r="N59" i="108"/>
  <c r="G59" i="73"/>
  <c r="I60" i="9"/>
  <c r="N58" i="108"/>
  <c r="D60" i="73"/>
  <c r="G58" i="73"/>
  <c r="L59" i="73"/>
  <c r="I60" i="73"/>
  <c r="I56" i="9"/>
  <c r="Q6" i="109"/>
  <c r="O33" i="93"/>
  <c r="Q6" i="93"/>
  <c r="R6" i="109"/>
  <c r="P33" i="93"/>
  <c r="Q33" i="93" s="1"/>
  <c r="P12" i="85"/>
  <c r="P16" i="85"/>
  <c r="P40" i="85"/>
  <c r="N6" i="85"/>
  <c r="P45" i="85"/>
  <c r="P14" i="85"/>
  <c r="P24" i="85"/>
  <c r="P36" i="85"/>
  <c r="P27" i="85"/>
  <c r="P8" i="85"/>
  <c r="P11" i="85"/>
  <c r="P29" i="85"/>
  <c r="P19" i="85"/>
  <c r="P41" i="85"/>
  <c r="P49" i="85"/>
  <c r="Q41" i="93"/>
  <c r="Q43" i="93"/>
  <c r="Q31" i="93"/>
  <c r="Q34" i="93"/>
  <c r="Q29" i="93"/>
  <c r="G56" i="9"/>
  <c r="G60" i="9"/>
  <c r="P32" i="78"/>
  <c r="O32" i="78" s="1"/>
  <c r="G61" i="9"/>
  <c r="P21" i="78"/>
  <c r="O21" i="78" s="1"/>
  <c r="P13" i="78"/>
  <c r="O13" i="78" s="1"/>
  <c r="P55" i="78"/>
  <c r="O55" i="78" s="1"/>
  <c r="P9" i="78"/>
  <c r="O9" i="78" s="1"/>
  <c r="P19" i="78"/>
  <c r="O19" i="78" s="1"/>
  <c r="P42" i="78"/>
  <c r="O42" i="78" s="1"/>
  <c r="P15" i="78"/>
  <c r="O15" i="78" s="1"/>
  <c r="P37" i="78"/>
  <c r="O37" i="78" s="1"/>
  <c r="J62" i="9"/>
  <c r="P26" i="78"/>
  <c r="O26" i="78" s="1"/>
  <c r="P40" i="78"/>
  <c r="O40" i="78" s="1"/>
  <c r="P28" i="78"/>
  <c r="O28" i="78" s="1"/>
  <c r="P33" i="78"/>
  <c r="O33" i="78" s="1"/>
  <c r="P43" i="78"/>
  <c r="O43" i="78" s="1"/>
  <c r="P23" i="78"/>
  <c r="O23" i="78" s="1"/>
  <c r="P46" i="78"/>
  <c r="O46" i="78" s="1"/>
  <c r="P31" i="78"/>
  <c r="O31" i="78" s="1"/>
  <c r="P29" i="78"/>
  <c r="O29" i="78" s="1"/>
  <c r="P49" i="78"/>
  <c r="O49" i="78" s="1"/>
  <c r="P10" i="78"/>
  <c r="O10" i="78" s="1"/>
  <c r="P24" i="78"/>
  <c r="O24" i="78" s="1"/>
  <c r="P50" i="78"/>
  <c r="O50" i="78" s="1"/>
  <c r="P20" i="78"/>
  <c r="O20" i="78" s="1"/>
  <c r="P8" i="78"/>
  <c r="O8" i="78" s="1"/>
  <c r="P53" i="78"/>
  <c r="O53" i="78" s="1"/>
  <c r="P44" i="78"/>
  <c r="O44" i="78" s="1"/>
  <c r="P48" i="78"/>
  <c r="O48" i="78" s="1"/>
  <c r="P6" i="78"/>
  <c r="O6" i="78" s="1"/>
  <c r="P51" i="78"/>
  <c r="O51" i="78" s="1"/>
  <c r="P35" i="78"/>
  <c r="O35" i="78" s="1"/>
  <c r="P18" i="78"/>
  <c r="O18" i="78" s="1"/>
  <c r="P30" i="78"/>
  <c r="O30" i="78" s="1"/>
  <c r="P7" i="78"/>
  <c r="O7" i="78" s="1"/>
  <c r="P11" i="78"/>
  <c r="O11" i="78" s="1"/>
  <c r="P38" i="78"/>
  <c r="O38" i="78" s="1"/>
  <c r="P39" i="78"/>
  <c r="P57" i="78"/>
  <c r="O57" i="78" s="1"/>
  <c r="J63" i="7"/>
  <c r="P58" i="78"/>
  <c r="O58" i="78" s="1"/>
  <c r="P12" i="78"/>
  <c r="O12" i="78" s="1"/>
  <c r="P45" i="78"/>
  <c r="O45" i="78" s="1"/>
  <c r="J62" i="7"/>
  <c r="Q16" i="93"/>
  <c r="Q19" i="93"/>
  <c r="Q38" i="93"/>
  <c r="Q52" i="93"/>
  <c r="K50" i="7"/>
  <c r="K43" i="7"/>
  <c r="Q46" i="93"/>
  <c r="P16" i="78"/>
  <c r="O16" i="78" s="1"/>
  <c r="K8" i="7"/>
  <c r="Q42" i="93"/>
  <c r="P54" i="78"/>
  <c r="O54" i="78" s="1"/>
  <c r="I27" i="15"/>
  <c r="P25" i="78"/>
  <c r="O25" i="78" s="1"/>
  <c r="P41" i="78"/>
  <c r="O41" i="78" s="1"/>
  <c r="J60" i="7"/>
  <c r="K23" i="7"/>
  <c r="Q49" i="93"/>
  <c r="Q51" i="93"/>
  <c r="Q56" i="93"/>
  <c r="P20" i="85"/>
  <c r="H21" i="15"/>
  <c r="I21" i="15" s="1"/>
  <c r="P44" i="85"/>
  <c r="H45" i="15"/>
  <c r="I45" i="15" s="1"/>
  <c r="P46" i="85"/>
  <c r="H47" i="15"/>
  <c r="I47" i="15" s="1"/>
  <c r="P50" i="85"/>
  <c r="H51" i="15"/>
  <c r="I51" i="15" s="1"/>
  <c r="K49" i="7"/>
  <c r="Q30" i="93"/>
  <c r="Q8" i="93"/>
  <c r="Q15" i="93"/>
  <c r="Q24" i="93"/>
  <c r="H57" i="15"/>
  <c r="I57" i="15" s="1"/>
  <c r="H33" i="15"/>
  <c r="I33" i="15" s="1"/>
  <c r="P54" i="85"/>
  <c r="P56" i="85"/>
  <c r="P47" i="78"/>
  <c r="O47" i="78" s="1"/>
  <c r="P22" i="78"/>
  <c r="O22" i="78" s="1"/>
  <c r="H58" i="15"/>
  <c r="I58" i="15" s="1"/>
  <c r="I56" i="7"/>
  <c r="Q20" i="93"/>
  <c r="H49" i="15"/>
  <c r="I49" i="15" s="1"/>
  <c r="P28" i="85"/>
  <c r="H29" i="15"/>
  <c r="I29" i="15" s="1"/>
  <c r="H10" i="15"/>
  <c r="I10" i="15" s="1"/>
  <c r="P52" i="85"/>
  <c r="Q35" i="93"/>
  <c r="Q50" i="93"/>
  <c r="P13" i="85"/>
  <c r="H14" i="15"/>
  <c r="I14" i="15" s="1"/>
  <c r="P15" i="85"/>
  <c r="H16" i="15"/>
  <c r="I16" i="15" s="1"/>
  <c r="P17" i="85"/>
  <c r="H18" i="15"/>
  <c r="I18" i="15" s="1"/>
  <c r="P23" i="85"/>
  <c r="H24" i="15"/>
  <c r="I24" i="15" s="1"/>
  <c r="P25" i="85"/>
  <c r="H26" i="15"/>
  <c r="I26" i="15" s="1"/>
  <c r="P7" i="85"/>
  <c r="H35" i="15"/>
  <c r="I35" i="15" s="1"/>
  <c r="H40" i="15"/>
  <c r="I40" i="15" s="1"/>
  <c r="H44" i="15"/>
  <c r="I44" i="15" s="1"/>
  <c r="H12" i="15"/>
  <c r="I12" i="15" s="1"/>
  <c r="P9" i="85"/>
  <c r="H17" i="15"/>
  <c r="I17" i="15" s="1"/>
  <c r="H19" i="15"/>
  <c r="I19" i="15" s="1"/>
  <c r="H23" i="15"/>
  <c r="I23" i="15" s="1"/>
  <c r="H28" i="15"/>
  <c r="I28" i="15" s="1"/>
  <c r="P34" i="85"/>
  <c r="P35" i="85"/>
  <c r="P37" i="85"/>
  <c r="P39" i="85"/>
  <c r="P42" i="85"/>
  <c r="P43" i="85"/>
  <c r="P47" i="85"/>
  <c r="P48" i="85"/>
  <c r="P53" i="85"/>
  <c r="P18" i="85"/>
  <c r="P21" i="85"/>
  <c r="P22" i="85"/>
  <c r="P30" i="85"/>
  <c r="H46" i="15"/>
  <c r="I46" i="15" s="1"/>
  <c r="H41" i="15"/>
  <c r="I41" i="15" s="1"/>
  <c r="G60" i="73" l="1"/>
  <c r="D63" i="73"/>
  <c r="P63" i="93"/>
  <c r="R33" i="109"/>
  <c r="O63" i="93"/>
  <c r="Q63" i="109" s="1"/>
  <c r="Q33" i="109"/>
  <c r="I63" i="73"/>
  <c r="L63" i="73" s="1"/>
  <c r="L60" i="73"/>
  <c r="P58" i="109"/>
  <c r="S58" i="109" s="1"/>
  <c r="Q58" i="108"/>
  <c r="N60" i="108"/>
  <c r="P59" i="109"/>
  <c r="S59" i="109" s="1"/>
  <c r="Q59" i="108"/>
  <c r="P6" i="85"/>
  <c r="O58" i="109"/>
  <c r="M60" i="108"/>
  <c r="I62" i="9"/>
  <c r="S6" i="109"/>
  <c r="P26" i="85"/>
  <c r="P27" i="78"/>
  <c r="O27" i="78" s="1"/>
  <c r="G62" i="9"/>
  <c r="J63" i="9"/>
  <c r="P34" i="78"/>
  <c r="Q27" i="93"/>
  <c r="K56" i="7"/>
  <c r="P52" i="78"/>
  <c r="K33" i="7"/>
  <c r="H34" i="15"/>
  <c r="I34" i="15" s="1"/>
  <c r="P38" i="85"/>
  <c r="H39" i="15"/>
  <c r="I39" i="15" s="1"/>
  <c r="O39" i="78"/>
  <c r="P55" i="85"/>
  <c r="H56" i="15"/>
  <c r="I56" i="15" s="1"/>
  <c r="G63" i="73" l="1"/>
  <c r="D68" i="73"/>
  <c r="W65" i="110"/>
  <c r="W66" i="110" s="1"/>
  <c r="O34" i="78"/>
  <c r="O56" i="78" s="1"/>
  <c r="P56" i="78"/>
  <c r="N63" i="108"/>
  <c r="P60" i="109"/>
  <c r="S60" i="109" s="1"/>
  <c r="Q60" i="108"/>
  <c r="Q63" i="93"/>
  <c r="R63" i="109"/>
  <c r="I63" i="9"/>
  <c r="O60" i="109"/>
  <c r="M63" i="108"/>
  <c r="O63" i="109" s="1"/>
  <c r="C65" i="110" s="1"/>
  <c r="C66" i="110" s="1"/>
  <c r="P57" i="85"/>
  <c r="S33" i="109"/>
  <c r="G63" i="9"/>
  <c r="H59" i="15"/>
  <c r="I59" i="15" s="1"/>
  <c r="P51" i="85"/>
  <c r="H52" i="15"/>
  <c r="I52" i="15" s="1"/>
  <c r="O52" i="78"/>
  <c r="K63" i="7"/>
  <c r="X65" i="110" l="1"/>
  <c r="X66" i="110" s="1"/>
  <c r="P63" i="109"/>
  <c r="D65" i="110" s="1"/>
  <c r="D66" i="110" s="1"/>
  <c r="Q63" i="108"/>
  <c r="P59" i="78"/>
  <c r="O59" i="78" s="1"/>
  <c r="Y66" i="110" l="1"/>
  <c r="S63" i="109"/>
  <c r="P58" i="85"/>
  <c r="I61" i="7"/>
  <c r="I62" i="7"/>
  <c r="M61" i="9"/>
  <c r="N61" i="9"/>
  <c r="F62" i="7"/>
  <c r="F63" i="7" s="1"/>
  <c r="M62" i="9"/>
  <c r="N62" i="9" s="1"/>
  <c r="M63" i="9" l="1"/>
  <c r="N63" i="9" s="1"/>
  <c r="I63" i="7"/>
</calcChain>
</file>

<file path=xl/sharedStrings.xml><?xml version="1.0" encoding="utf-8"?>
<sst xmlns="http://schemas.openxmlformats.org/spreadsheetml/2006/main" count="3727" uniqueCount="1295">
  <si>
    <t>TOTAL</t>
  </si>
  <si>
    <t>Total</t>
  </si>
  <si>
    <t>Sl.No.</t>
  </si>
  <si>
    <t>BANKS</t>
  </si>
  <si>
    <t>RURAL</t>
  </si>
  <si>
    <t>SEMI URBAN</t>
  </si>
  <si>
    <t>URBAN</t>
  </si>
  <si>
    <t>ATMS</t>
  </si>
  <si>
    <t>DEPOSIT</t>
  </si>
  <si>
    <t>ADVANCES</t>
  </si>
  <si>
    <t>C.D RATIO</t>
  </si>
  <si>
    <t>SEMI-URBAN</t>
  </si>
  <si>
    <t>[Amt. in lacs]</t>
  </si>
  <si>
    <t>TOTAL ADVANCES</t>
  </si>
  <si>
    <t>DEPOSITS</t>
  </si>
  <si>
    <t>TABLE-2</t>
  </si>
  <si>
    <t>A/C</t>
  </si>
  <si>
    <t>Amt.</t>
  </si>
  <si>
    <t>AGRICULTURE</t>
  </si>
  <si>
    <t>HOUSING</t>
  </si>
  <si>
    <t>EDUCATION</t>
  </si>
  <si>
    <t>TARGET</t>
  </si>
  <si>
    <t>NO.</t>
  </si>
  <si>
    <t>AMT.</t>
  </si>
  <si>
    <t>MSME</t>
  </si>
  <si>
    <t>AMOUNT DISB.</t>
  </si>
  <si>
    <t>SIKHS</t>
  </si>
  <si>
    <t>CHRISTIANS</t>
  </si>
  <si>
    <t>BUDDHISTS</t>
  </si>
  <si>
    <t>JAINS</t>
  </si>
  <si>
    <t>No.</t>
  </si>
  <si>
    <r>
      <t xml:space="preserve">SLBC Madhya Pradesh. Convenor-Central Bank of India                                                              </t>
    </r>
    <r>
      <rPr>
        <b/>
        <sz val="12"/>
        <rFont val="Times New Roman"/>
        <family val="1"/>
      </rPr>
      <t xml:space="preserve"> </t>
    </r>
  </si>
  <si>
    <t>Farm Credit</t>
  </si>
  <si>
    <t>Total Agri</t>
  </si>
  <si>
    <t>EXPORT CREDIT</t>
  </si>
  <si>
    <t>SOCIAL INFRASTRUCTURE</t>
  </si>
  <si>
    <t>RENEWABLE ENERGY</t>
  </si>
  <si>
    <t>TOTAL NPS</t>
  </si>
  <si>
    <t>OTHERS PS</t>
  </si>
  <si>
    <t>TOTAL NPA</t>
  </si>
  <si>
    <t>CMRHM TOTAL O/S</t>
  </si>
  <si>
    <t>PMEGP TOTAL O/S</t>
  </si>
  <si>
    <t>MMSY/MMYUY/MMAKY TOTAL O/S</t>
  </si>
  <si>
    <t>FARM CREDIT</t>
  </si>
  <si>
    <t>TABLE-13</t>
  </si>
  <si>
    <t>OUTSTANDING</t>
  </si>
  <si>
    <t>CMPGB</t>
  </si>
  <si>
    <t>Axis Bank</t>
  </si>
  <si>
    <t>Corporation Bank</t>
  </si>
  <si>
    <t>Dena Bank</t>
  </si>
  <si>
    <t>Vijaya Bank</t>
  </si>
  <si>
    <t>City Union Bank</t>
  </si>
  <si>
    <t>NJGB</t>
  </si>
  <si>
    <t>OTHERS</t>
  </si>
  <si>
    <t>TOTAL PRIORITY SECTOR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</si>
  <si>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</si>
  <si>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</si>
  <si>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</si>
  <si>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</si>
  <si>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</si>
  <si>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</si>
  <si>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</si>
  <si>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</si>
  <si>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</si>
  <si>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Punjab National Bank</t>
  </si>
  <si>
    <t>Syndicate Bank</t>
  </si>
  <si>
    <t>Union Bank of India</t>
  </si>
  <si>
    <t>United Bank of India</t>
  </si>
  <si>
    <t>Bharatiya Mahila Bank</t>
  </si>
  <si>
    <t>S.B. of Hyderabad</t>
  </si>
  <si>
    <t>State Bank of India</t>
  </si>
  <si>
    <t>HDFC Bank</t>
  </si>
  <si>
    <t>ICICI Bank</t>
  </si>
  <si>
    <t>Kotak Mahindra Bank</t>
  </si>
  <si>
    <t>The Federal Bank Ltd.</t>
  </si>
  <si>
    <t>Ratnakar Bank</t>
  </si>
  <si>
    <t>Yes Bank</t>
  </si>
  <si>
    <t>Standard Chartered Bank</t>
  </si>
  <si>
    <t>Citi Bank</t>
  </si>
  <si>
    <t>M.P.Co-operative Bank</t>
  </si>
  <si>
    <t>Uco Bank</t>
  </si>
  <si>
    <t>IDBI Bank</t>
  </si>
  <si>
    <t>Oriental Bank of Commerce</t>
  </si>
  <si>
    <t>Punjab &amp; Sind Bank</t>
  </si>
  <si>
    <t>S.B.of Mysore</t>
  </si>
  <si>
    <t>S.B.of Patiala</t>
  </si>
  <si>
    <t>S.B.of Travancore</t>
  </si>
  <si>
    <t>S.B. of Bikaner &amp; Jaipur</t>
  </si>
  <si>
    <t>Karnataka Bank Ltd</t>
  </si>
  <si>
    <t>Dhan Laxmi Bank Ltd.</t>
  </si>
  <si>
    <t>Indusind Bank Ltd.</t>
  </si>
  <si>
    <t>Laxmi Vilas Bank Ltd.</t>
  </si>
  <si>
    <t xml:space="preserve">The Jammu &amp; Kashmir Bank </t>
  </si>
  <si>
    <t>Karur Vysya Bank</t>
  </si>
  <si>
    <t>The South Indian Bank</t>
  </si>
  <si>
    <t>DCB Bank</t>
  </si>
  <si>
    <t xml:space="preserve">M G B </t>
  </si>
  <si>
    <t>NPA%</t>
  </si>
  <si>
    <t>SLBC Madhya Pradesh Convenor: Central Bank of India    TABLE: 1</t>
  </si>
  <si>
    <t>Amount</t>
  </si>
  <si>
    <t>Banks</t>
  </si>
  <si>
    <t>RELIEF MEASURES EXTENDED BY BANKS ON ACCOUNT OF NATURAL CALAMITIES IN MADHYA PRADESH</t>
  </si>
  <si>
    <t>Year 2014-15</t>
  </si>
  <si>
    <t>Amt. In Crore</t>
  </si>
  <si>
    <t>S.No.</t>
  </si>
  <si>
    <t>Name of Bank</t>
  </si>
  <si>
    <t>Amt. Restructure / Rescheduled</t>
  </si>
  <si>
    <t>Fresh Finance / Relending provided</t>
  </si>
  <si>
    <t>No. of A/c</t>
  </si>
  <si>
    <t>Bandan Bank</t>
  </si>
  <si>
    <t xml:space="preserve">TOTAL </t>
  </si>
  <si>
    <t>TABLE: 33</t>
  </si>
  <si>
    <t>TOTAL PS NPA</t>
  </si>
  <si>
    <t>MMSY/MMYUY/MMAKY [NPA]</t>
  </si>
  <si>
    <t>PMEGP [NPA]</t>
  </si>
  <si>
    <t>CMRHM [NPA]</t>
  </si>
  <si>
    <t>NPA % OF PS ADV.</t>
  </si>
  <si>
    <t xml:space="preserve">                                                                 SLBC Madhya Pradesh. Convenor-Central Bank of India                                                               </t>
  </si>
  <si>
    <t>NPA %</t>
  </si>
  <si>
    <t>Year 2015-16 (31.03.2016)</t>
  </si>
  <si>
    <t>Sr.</t>
  </si>
  <si>
    <t>Achievement %</t>
  </si>
  <si>
    <t>Agri Infrastructure</t>
  </si>
  <si>
    <t>Ancillary Activities</t>
  </si>
  <si>
    <t>Number</t>
  </si>
  <si>
    <t>TABLE: 4</t>
  </si>
  <si>
    <t>Out of Farm Credit total Crop Loans</t>
  </si>
  <si>
    <t>Micro</t>
  </si>
  <si>
    <t>Small</t>
  </si>
  <si>
    <t>Medium</t>
  </si>
  <si>
    <t>KVIC</t>
  </si>
  <si>
    <t>Others</t>
  </si>
  <si>
    <t>Other MSME</t>
  </si>
  <si>
    <t>TABLE:5</t>
  </si>
  <si>
    <t>Amt. in Lakhs</t>
  </si>
  <si>
    <t>Export Credit</t>
  </si>
  <si>
    <t>Education</t>
  </si>
  <si>
    <t>Housing</t>
  </si>
  <si>
    <t>Social Infra</t>
  </si>
  <si>
    <t>Renewable Energy</t>
  </si>
  <si>
    <t>Total Priority Sector</t>
  </si>
  <si>
    <t>TABLE:6</t>
  </si>
  <si>
    <t>Number in Actual</t>
  </si>
  <si>
    <t>No. in actual</t>
  </si>
  <si>
    <t>TABLE:7</t>
  </si>
  <si>
    <t>Loans to small &amp; marginal farmers</t>
  </si>
  <si>
    <t>Loans to SC/ST</t>
  </si>
  <si>
    <t>Loans to SHGs</t>
  </si>
  <si>
    <t>Loans to Minority Communities</t>
  </si>
  <si>
    <t>OD under PMJDY</t>
  </si>
  <si>
    <t>Beneficiaries of DRI scheme</t>
  </si>
  <si>
    <t>Total advances to weaker sections</t>
  </si>
  <si>
    <t>% of Total Pri Sec loans to total advances</t>
  </si>
  <si>
    <t>Agriculture</t>
  </si>
  <si>
    <t>Personal loans under NPS</t>
  </si>
  <si>
    <t>Total NPS</t>
  </si>
  <si>
    <t>Total MSME</t>
  </si>
  <si>
    <t>TABLE:10</t>
  </si>
  <si>
    <t>Achievement % (Amt.)</t>
  </si>
  <si>
    <t>TARGET MSME FY 2016-17</t>
  </si>
  <si>
    <t>ACHIVEMENT</t>
  </si>
  <si>
    <t>AGRI INFRASTRUCTURE</t>
  </si>
  <si>
    <t>ANICILLARY ACTIVITIES</t>
  </si>
  <si>
    <t>TOTAL AGRICULTURE (Farm Credit+Agri Infr+Anci Acti)</t>
  </si>
  <si>
    <t>TABLE: 9(ii)</t>
  </si>
  <si>
    <t>Table: 9(i)</t>
  </si>
  <si>
    <t>TABLE:11(ii)</t>
  </si>
  <si>
    <t>TABLE:12</t>
  </si>
  <si>
    <t>Sr.No</t>
  </si>
  <si>
    <t>TABLE-14</t>
  </si>
  <si>
    <t>TABLE: 15</t>
  </si>
  <si>
    <t xml:space="preserve">                                             SLBC Madhya Pradesh. Convenor Central Bank of India                                                               </t>
  </si>
  <si>
    <t>TABLE-16</t>
  </si>
  <si>
    <t>SHGs NPA</t>
  </si>
  <si>
    <t>SHGs OUTSTANDING</t>
  </si>
  <si>
    <t>TABLE:17</t>
  </si>
  <si>
    <t>Table: 3(i)</t>
  </si>
  <si>
    <t>To be filled by only Lead Banks of concerned Districts</t>
  </si>
  <si>
    <t>DISTRICTS</t>
  </si>
  <si>
    <t>TABLE-19</t>
  </si>
  <si>
    <t>MUSLIMS</t>
  </si>
  <si>
    <t>ZORASTRIANS</t>
  </si>
  <si>
    <t>TABLE-20</t>
  </si>
  <si>
    <t>TABLE-21</t>
  </si>
  <si>
    <t>SCHEDULED CASTE</t>
  </si>
  <si>
    <t>SCHEDULED TRIBES</t>
  </si>
  <si>
    <t>Table: 22</t>
  </si>
  <si>
    <t>Table: 23</t>
  </si>
  <si>
    <t>of which no of loans guaranteed by  MP STATE GOVT</t>
  </si>
  <si>
    <t>A/c  </t>
  </si>
  <si>
    <t>Amount  </t>
  </si>
  <si>
    <t>A/C  </t>
  </si>
  <si>
    <r>
      <t>of which girl student</t>
    </r>
    <r>
      <rPr>
        <sz val="11"/>
        <rFont val="Times New Roman"/>
        <family val="1"/>
      </rPr>
      <t> </t>
    </r>
  </si>
  <si>
    <r>
      <t>of which Girl student</t>
    </r>
    <r>
      <rPr>
        <sz val="11"/>
        <rFont val="Times New Roman"/>
        <family val="1"/>
      </rPr>
      <t xml:space="preserve"> (out of 8 column)</t>
    </r>
  </si>
  <si>
    <r>
      <t>of Which Girl Student</t>
    </r>
    <r>
      <rPr>
        <sz val="11"/>
        <rFont val="Times New Roman"/>
        <family val="1"/>
      </rPr>
      <t> </t>
    </r>
  </si>
  <si>
    <r>
      <t> </t>
    </r>
    <r>
      <rPr>
        <sz val="11"/>
        <rFont val="Times New Roman"/>
        <family val="1"/>
      </rPr>
      <t xml:space="preserve">     </t>
    </r>
  </si>
  <si>
    <t>TABLE: 18</t>
  </si>
  <si>
    <t xml:space="preserve">Sr. No. </t>
  </si>
  <si>
    <t>APPLICATION RECEIVED DURING FY 2016-17</t>
  </si>
  <si>
    <t>Loan Disbursed</t>
  </si>
  <si>
    <t xml:space="preserve">Education Loan Outstanding </t>
  </si>
  <si>
    <t>Table: 24</t>
  </si>
  <si>
    <t>OUTSTANDING LOANS TO WOMEN</t>
  </si>
  <si>
    <t>Individual woman beneficiary upto Rs. 1 Lakh (out of total loans to women)</t>
  </si>
  <si>
    <t>TABLE: 3(i)</t>
  </si>
  <si>
    <t>Other loans to weaker sections</t>
  </si>
  <si>
    <t>CROP LOANS (Out of Farm Credit)</t>
  </si>
  <si>
    <t>Oriental Bank of Comm.</t>
  </si>
  <si>
    <t>Punjab and Sindh Bank</t>
  </si>
  <si>
    <t>S.B. of Mysore</t>
  </si>
  <si>
    <t>S.B. of Patiala</t>
  </si>
  <si>
    <t>S.B. of Travancore</t>
  </si>
  <si>
    <t>S.B.B. of Jaipur</t>
  </si>
  <si>
    <t>UCO Bank</t>
  </si>
  <si>
    <t>SUB TOTAL PSBs</t>
  </si>
  <si>
    <t>Bandhan Bank</t>
  </si>
  <si>
    <t>Catholic Syrian Bank</t>
  </si>
  <si>
    <t>Development Credit Bank</t>
  </si>
  <si>
    <t>Dhan Lakshmi Bank</t>
  </si>
  <si>
    <t>Federal Bank Ltd.</t>
  </si>
  <si>
    <t>IDFC</t>
  </si>
  <si>
    <t>Indusind Bank Limited</t>
  </si>
  <si>
    <t>Jammu and Kashmir Bank</t>
  </si>
  <si>
    <t>Karnataka Bank Limited</t>
  </si>
  <si>
    <t>Karur Vysya Bank Ltd.</t>
  </si>
  <si>
    <t>Lakshmi Vilas Bank</t>
  </si>
  <si>
    <t>Ratnakar Bank Ltd. (RBL)</t>
  </si>
  <si>
    <t>South Indian Bank</t>
  </si>
  <si>
    <t>Tamilnadu Mercantile Bank</t>
  </si>
  <si>
    <t>MGB</t>
  </si>
  <si>
    <t>SUB TOTAL RRBs</t>
  </si>
  <si>
    <t>SR</t>
  </si>
  <si>
    <t>M.P.Co-op Bank/DCCBs</t>
  </si>
  <si>
    <t>Catholic Serian Bank</t>
  </si>
  <si>
    <t xml:space="preserve">Jammu &amp; Kashmir Bank </t>
  </si>
  <si>
    <t>TamilNadu Mercantile bank</t>
  </si>
  <si>
    <t>SUB TOTAL PVT.BANKS</t>
  </si>
  <si>
    <t>SUB TOTAL CO-OPERATIVE</t>
  </si>
  <si>
    <t xml:space="preserve">GRAND TOTAL </t>
  </si>
  <si>
    <t>Oriental Bank of Comm</t>
  </si>
  <si>
    <t>SLBC, Madhya Pradesh Convenor-Central Bank of India</t>
  </si>
  <si>
    <t>SLBC, Madhya Pradesh  Convenor: Central Bank of India</t>
  </si>
  <si>
    <t>Bhartiya Mahila Bank</t>
  </si>
  <si>
    <t>IDBI</t>
  </si>
  <si>
    <t>Punjab &amp; Sindh Bank</t>
  </si>
  <si>
    <t>S.B.Hyderabad</t>
  </si>
  <si>
    <t>S.B.Mysore</t>
  </si>
  <si>
    <t>S.B.Patiala</t>
  </si>
  <si>
    <t>S.B.Travancore</t>
  </si>
  <si>
    <t>S.B.B.Jaipur</t>
  </si>
  <si>
    <t>SUB TOTAL SBI GROUP</t>
  </si>
  <si>
    <t>DCB</t>
  </si>
  <si>
    <t>Dhanlaxmi Bank</t>
  </si>
  <si>
    <t>Federal Bank</t>
  </si>
  <si>
    <t>HDFC</t>
  </si>
  <si>
    <t>ICICI</t>
  </si>
  <si>
    <t>Indusind Bank</t>
  </si>
  <si>
    <t>J&amp;K Bank Ltd.</t>
  </si>
  <si>
    <t>Karnataka Bank Ltd.</t>
  </si>
  <si>
    <t>Kotak Mahindra</t>
  </si>
  <si>
    <t>Laxmi Vilas Bank</t>
  </si>
  <si>
    <t>Ratnakar Bank Ltd.</t>
  </si>
  <si>
    <t>DCCBs</t>
  </si>
  <si>
    <t>Amt</t>
  </si>
  <si>
    <t>No</t>
  </si>
  <si>
    <t>Oriental Bank Of Comm.</t>
  </si>
  <si>
    <t>Achievement upto the end of the current quarter (%) (Amt in Lakhs)</t>
  </si>
  <si>
    <t>PS</t>
  </si>
  <si>
    <t>Diff</t>
  </si>
  <si>
    <t>% of Agri adv. to total advance</t>
  </si>
  <si>
    <t>% of loans to weaker sections to total advance</t>
  </si>
  <si>
    <t>TABLE: 11(i)</t>
  </si>
  <si>
    <t>Sr</t>
  </si>
  <si>
    <t>Bank</t>
  </si>
  <si>
    <t>Target</t>
  </si>
  <si>
    <t xml:space="preserve">TARGET for FY   2016-17 </t>
  </si>
  <si>
    <t>Savings Linked</t>
  </si>
  <si>
    <t>Credit Linked</t>
  </si>
  <si>
    <t>Current FY</t>
  </si>
  <si>
    <t>Sanctioned including previous year</t>
  </si>
  <si>
    <t>BALAGHAT</t>
  </si>
  <si>
    <t>BARWANI</t>
  </si>
  <si>
    <t>DEWAS</t>
  </si>
  <si>
    <t>PANNA</t>
  </si>
  <si>
    <t>SEHORE</t>
  </si>
  <si>
    <t>TIKAMGARH</t>
  </si>
  <si>
    <t>Sr. No.</t>
  </si>
  <si>
    <t>Name of the Bank</t>
  </si>
  <si>
    <t>PSBs - SUB TOTAL</t>
  </si>
  <si>
    <t>PRIVATE BANK - SUB TOTAL</t>
  </si>
  <si>
    <t>DCCB</t>
  </si>
  <si>
    <t>CO-OPERATIVE BANK - SUB TOTAL</t>
  </si>
  <si>
    <t>Grand Total</t>
  </si>
  <si>
    <t>RRBs- SUB TOTAL</t>
  </si>
  <si>
    <t>PSBs- SUB TOTAL</t>
  </si>
  <si>
    <t xml:space="preserve"> REGIONAL RURAL BANK - SUB TOTAL</t>
  </si>
  <si>
    <t>DEPOSIT GROWTH %</t>
  </si>
  <si>
    <t>ADVANCEGROWTH %</t>
  </si>
  <si>
    <t>RRBs - SUB TOTAL</t>
  </si>
  <si>
    <t>Deposits</t>
  </si>
  <si>
    <t>Advances</t>
  </si>
  <si>
    <t>Actual</t>
  </si>
  <si>
    <t>AGAR MALWA</t>
  </si>
  <si>
    <t>ALIRAJPUR</t>
  </si>
  <si>
    <t>ANUPPUR</t>
  </si>
  <si>
    <t>ASHOK NAGAR</t>
  </si>
  <si>
    <t>BETUL</t>
  </si>
  <si>
    <t>BHIND</t>
  </si>
  <si>
    <t>BHOPAL</t>
  </si>
  <si>
    <t>BURHANPUR</t>
  </si>
  <si>
    <t>CHHATARPUR</t>
  </si>
  <si>
    <t>CHHINDWARA</t>
  </si>
  <si>
    <t>DAMOH</t>
  </si>
  <si>
    <t>DATIA</t>
  </si>
  <si>
    <t>DHAR</t>
  </si>
  <si>
    <t>DINDORI</t>
  </si>
  <si>
    <t>GUNA</t>
  </si>
  <si>
    <t>GWALIOR</t>
  </si>
  <si>
    <t>HARDA</t>
  </si>
  <si>
    <t>HOSHANGABAD</t>
  </si>
  <si>
    <t>INDORE</t>
  </si>
  <si>
    <t>JABALPUR</t>
  </si>
  <si>
    <t>JHABUA</t>
  </si>
  <si>
    <t>KATNI</t>
  </si>
  <si>
    <t>KHANDWA</t>
  </si>
  <si>
    <t>KHARGONE</t>
  </si>
  <si>
    <t>Mandla</t>
  </si>
  <si>
    <t>MANDSAUR</t>
  </si>
  <si>
    <t>Morena</t>
  </si>
  <si>
    <t>NARSINGHPUR</t>
  </si>
  <si>
    <t>NEEMUCH</t>
  </si>
  <si>
    <t>RAISEN</t>
  </si>
  <si>
    <t>RAJGARH</t>
  </si>
  <si>
    <t>RATLAM</t>
  </si>
  <si>
    <t>REWA</t>
  </si>
  <si>
    <t>SAGAR</t>
  </si>
  <si>
    <t>SATNA</t>
  </si>
  <si>
    <t>SEONI</t>
  </si>
  <si>
    <t>SHAHDOL</t>
  </si>
  <si>
    <t>SHAJAPUR</t>
  </si>
  <si>
    <t>SHEOPUR</t>
  </si>
  <si>
    <t>SHIVPURI</t>
  </si>
  <si>
    <t>SIDHI</t>
  </si>
  <si>
    <t>SINGARULI</t>
  </si>
  <si>
    <t>UJJAIN</t>
  </si>
  <si>
    <t>UMARIA</t>
  </si>
  <si>
    <t>VIDISHA</t>
  </si>
  <si>
    <t>Sheet 2</t>
  </si>
  <si>
    <t/>
  </si>
  <si>
    <t>Bank wise Position of Branches/ATM as on 31.12.2016</t>
  </si>
  <si>
    <t>CENTRE WISE INFORMATION REGARDING DEPOSITS, ADVANCES AND C.D.RATIO  31.12.2016</t>
  </si>
  <si>
    <t>BANKWISE TOTAL DEPOSITS, ADVANCES AND C.D.RATIO  As on 31.12.2016</t>
  </si>
  <si>
    <t>PREVIOUS QUARTER 30.09.16</t>
  </si>
  <si>
    <t>CURRENT QUARTER 31.12.16</t>
  </si>
  <si>
    <t>AGRICULTURE OUTSTANDING AS ON 31.12.2016</t>
  </si>
  <si>
    <t>Outstanding upto the end of current quarter 31.12.2016</t>
  </si>
  <si>
    <t>Difference</t>
  </si>
  <si>
    <t>MSME  (PRIORITY SECTOR) OUTSTANDING AS ON 31.12.2016</t>
  </si>
  <si>
    <t>PRIORITY SECTOR  OUTSTANDING AS ON 31.12.2016</t>
  </si>
  <si>
    <t>NON-PRIORITY SECTOR  OUTSTANDING AS ON 31.12.2016   Table:8</t>
  </si>
  <si>
    <t>ANNUAL CREDIT PLAN ACHIEVEMENT UNDER AGRICULTURE AS ON 31.12.2016</t>
  </si>
  <si>
    <t>POSITION OF SECTOR WISE NPA (PRIORITY SECTOR) As on 31.12.2016</t>
  </si>
  <si>
    <t>POSITION OF SECTOR WISE NPA (NON PRIORITY SECTOR) As on 31.12.2016</t>
  </si>
  <si>
    <t>POSITION OF NPA AS ON 31.12.2016</t>
  </si>
  <si>
    <t>POSITION OF NPA UNDER GOVT. SPONSORED SCHEME As on31.12.2016</t>
  </si>
  <si>
    <t>NO. OF CARD ISSUED DURING 01.04.16 to 31.12.16</t>
  </si>
  <si>
    <t>PROGRESS UNDER KISAN CREDIT CARD (As on 31.12.2016)</t>
  </si>
  <si>
    <t>PROGRESS UNDER HIGHER EDUCATION LOANS AS ON 31.12.2016</t>
  </si>
  <si>
    <t>POSITION SHG BANK LINKAGE PROGRAMME AS ON 31.12.2016</t>
  </si>
  <si>
    <t>LOANS OUTSTANDING TO MINORITY COMMUNITIES AS ON 31.12.2016</t>
  </si>
  <si>
    <t>LOANS DISBURSED TO MINORITY COMMUNITIES 01.04.16 TO 31.12.16</t>
  </si>
  <si>
    <t>LOANS OUTSTANDING TO SC/ST AS ON 31.12.2016</t>
  </si>
  <si>
    <t>LOANS DISBURSED TO SC/ST 01.04.16 TO 31.12.16</t>
  </si>
  <si>
    <t>ADVANCES TO WOMEN AS ON 31.12.2016</t>
  </si>
  <si>
    <t>LOANS DISBURSED TO WOMEN 01.04.16 TO 31.12.16</t>
  </si>
  <si>
    <t>ANNUAL CREDIT PLAN ACHIEVEMENT UNDER MSME (PRI SEC) AS ON 31.12.2016</t>
  </si>
  <si>
    <t>Disbursement upto the end of current quarter 31.12.2016</t>
  </si>
  <si>
    <t>ANNUAL CREDIT PLAN ACHIEVEMENT UNDER PRIORITY SECTOR AS ON 31.12.2016</t>
  </si>
  <si>
    <t>ANNUAL CREDIT PLAN ACHIEVEMENT UNDER NON-PRIORITY SECTOR AS ON 31.12.2016</t>
  </si>
  <si>
    <t>Directorate of Institutional Finance, Madhya Pradesh
(State BRISC Cell)</t>
  </si>
  <si>
    <t>District-Wise Summary showing status of RRCs for the period of  01/04/2010 - 01/02/2017</t>
  </si>
  <si>
    <t>SNo.</t>
  </si>
  <si>
    <t>District Name</t>
  </si>
  <si>
    <t>Submitted By  Bank(s)</t>
  </si>
  <si>
    <t>Forwarded By Thier Nodal Dist. Branch(s)</t>
  </si>
  <si>
    <t>Alloted by District Administration to Revenue Officers</t>
  </si>
  <si>
    <t>Rejected/ Returned By District Administration</t>
  </si>
  <si>
    <t>Demand Notice issued by Revenue Officers</t>
  </si>
  <si>
    <t>Recovery received  Against Demand Notices</t>
  </si>
  <si>
    <t>Disposed Off RRC(s) By District Administration</t>
  </si>
  <si>
    <t xml:space="preserve"> RRC(s) Pending  for Disposal 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</si>
  <si>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</si>
  <si>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</si>
  <si>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</si>
  <si>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</si>
  <si>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</si>
  <si>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</si>
  <si>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</si>
  <si>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</si>
  <si>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</si>
  <si>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</si>
  <si>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</si>
  <si>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</si>
  <si>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</si>
  <si>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</si>
  <si>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</si>
  <si>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</si>
  <si>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</si>
  <si>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</si>
  <si>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Agar Malwa</t>
  </si>
  <si>
    <t>Alirajpur</t>
  </si>
  <si>
    <t>Anuppur</t>
  </si>
  <si>
    <t>Ashoknagar</t>
  </si>
  <si>
    <t>Balaghat</t>
  </si>
  <si>
    <t>Barwani</t>
  </si>
  <si>
    <t>Betul</t>
  </si>
  <si>
    <t>Bhind</t>
  </si>
  <si>
    <t>Bhopal</t>
  </si>
  <si>
    <t>Burhanpur</t>
  </si>
  <si>
    <t>Chhatarpur</t>
  </si>
  <si>
    <t>Chhindwara</t>
  </si>
  <si>
    <t>Damoh</t>
  </si>
  <si>
    <t>Datia</t>
  </si>
  <si>
    <t>Dewas</t>
  </si>
  <si>
    <t>Dhar</t>
  </si>
  <si>
    <t>Dindori</t>
  </si>
  <si>
    <t>Guna</t>
  </si>
  <si>
    <t>Gwalior</t>
  </si>
  <si>
    <t>Harda</t>
  </si>
  <si>
    <t>Hoshangabad</t>
  </si>
  <si>
    <t>Indore</t>
  </si>
  <si>
    <t>Jabalpur</t>
  </si>
  <si>
    <t>Jhabua</t>
  </si>
  <si>
    <t>Katni</t>
  </si>
  <si>
    <t>Khandwa</t>
  </si>
  <si>
    <t>Khargone</t>
  </si>
  <si>
    <t>Mandsaur</t>
  </si>
  <si>
    <t>Narsinghpur</t>
  </si>
  <si>
    <t>Neemuch</t>
  </si>
  <si>
    <t>Panna</t>
  </si>
  <si>
    <t>Raisen</t>
  </si>
  <si>
    <t>Rajgarh</t>
  </si>
  <si>
    <t>Ratlam</t>
  </si>
  <si>
    <t>Rewa</t>
  </si>
  <si>
    <t>Sagar</t>
  </si>
  <si>
    <t>Satna</t>
  </si>
  <si>
    <t>Sehore</t>
  </si>
  <si>
    <t>Seoni</t>
  </si>
  <si>
    <t>Shahdol</t>
  </si>
  <si>
    <t>Shajapur</t>
  </si>
  <si>
    <t>Sheopur</t>
  </si>
  <si>
    <t>Shivpuri</t>
  </si>
  <si>
    <t>Sidhi</t>
  </si>
  <si>
    <t>Singrauli</t>
  </si>
  <si>
    <t>Tikamgarh</t>
  </si>
  <si>
    <t>Ujjain</t>
  </si>
  <si>
    <t>Umaria</t>
  </si>
  <si>
    <t>Vidisha</t>
  </si>
  <si>
    <t xml:space="preserve"> </t>
  </si>
  <si>
    <t>MANDLA</t>
  </si>
  <si>
    <t>DISTRICT WISE TOTAL DEPOSITS, ADVANCES AND C.D.RATIO  As on 31.12.2016</t>
  </si>
  <si>
    <t>crores</t>
  </si>
  <si>
    <t>ADVANCES TO WEAKER SECTION OUTSTANDING AS ON 31.12.2016</t>
  </si>
  <si>
    <t>TOTAL NO. OF CARD AS ON 31.12.16</t>
  </si>
  <si>
    <t>Roadmap- Progress in opening brick and mortar branches in villages with population more than 5000</t>
  </si>
  <si>
    <t>Satement of Progress during the quarter ended 31st December 2016</t>
  </si>
  <si>
    <t>Annex B</t>
  </si>
  <si>
    <t>Name of SLBC Convenor Bank : Central Bank of India</t>
  </si>
  <si>
    <t>Name of State: Madhya Pradesh</t>
  </si>
  <si>
    <t xml:space="preserve">Name of District </t>
  </si>
  <si>
    <t>Name of Scheduled Commercial Bank selected to open brick and mortar branches in villages with population more than 5000 without a bank branch of a scheduled commercial bank</t>
  </si>
  <si>
    <t xml:space="preserve">No.of Villages allotted </t>
  </si>
  <si>
    <t>No. of villages where brick &amp; mortar branches opened</t>
  </si>
  <si>
    <t>Brick &amp; mortar branches opened during the quarter ended 31st Dec 2016</t>
  </si>
  <si>
    <t>Total brick and mortar opened upto the end of the quarter 31st Dec 2016</t>
  </si>
  <si>
    <t xml:space="preserve">BHIND (8) </t>
  </si>
  <si>
    <t>(1) Bank of Maharashtra</t>
  </si>
  <si>
    <t>Jawasa</t>
  </si>
  <si>
    <t>(2) Corporation Bank</t>
  </si>
  <si>
    <t>Manhad</t>
  </si>
  <si>
    <t>(3) Dena Bank</t>
  </si>
  <si>
    <t>Goara</t>
  </si>
  <si>
    <t>(4) HDFC Bank</t>
  </si>
  <si>
    <t>Rahawali Ubari</t>
  </si>
  <si>
    <t>(5) Syndicate Bank</t>
  </si>
  <si>
    <t>Sherpur</t>
  </si>
  <si>
    <t>(6) Vijaya Bank</t>
  </si>
  <si>
    <t>Sukand</t>
  </si>
  <si>
    <t>(1) Bandhan Bank</t>
  </si>
  <si>
    <t>Bisoni</t>
  </si>
  <si>
    <t>(2) IDFC Bank</t>
  </si>
  <si>
    <t>Temni</t>
  </si>
  <si>
    <t>(1) YES Bank</t>
  </si>
  <si>
    <t>Khurmabad</t>
  </si>
  <si>
    <t>(2) Ratnakar Bank</t>
  </si>
  <si>
    <t>Dugani</t>
  </si>
  <si>
    <t>(3) Federal Bank</t>
  </si>
  <si>
    <t>Solwan</t>
  </si>
  <si>
    <t>(4) NJGB</t>
  </si>
  <si>
    <t>Danodroud</t>
  </si>
  <si>
    <t>(5) State Bank of Hyderabad</t>
  </si>
  <si>
    <t>Jalkheda</t>
  </si>
  <si>
    <t>(6) Indusind Bank</t>
  </si>
  <si>
    <t>Jhopali</t>
  </si>
  <si>
    <t>(7) Jammu &amp; Kashmir Bank Ltd.</t>
  </si>
  <si>
    <t>Jamati</t>
  </si>
  <si>
    <t>(8) State Bank of Patiala</t>
  </si>
  <si>
    <t>Vilva</t>
  </si>
  <si>
    <t>(9) State Bank of Travancore</t>
  </si>
  <si>
    <t>Khokri</t>
  </si>
  <si>
    <t>(10) State Bank of Mysore</t>
  </si>
  <si>
    <t>Chiklay</t>
  </si>
  <si>
    <t xml:space="preserve">BHOPAL (1) </t>
  </si>
  <si>
    <t>(1) Kotak Mahindra Bank</t>
  </si>
  <si>
    <t>Kanhasaiya</t>
  </si>
  <si>
    <t xml:space="preserve">CHHINDWARA (2) </t>
  </si>
  <si>
    <t>(1) Indian Over Seas Bank</t>
  </si>
  <si>
    <t>Berdi</t>
  </si>
  <si>
    <t>(2) U C O Bank</t>
  </si>
  <si>
    <t>Ekalbihari</t>
  </si>
  <si>
    <t>(1) Citi Union Bank</t>
  </si>
  <si>
    <t>Bawdikheda</t>
  </si>
  <si>
    <t>DHAR (4)</t>
  </si>
  <si>
    <t>(1) Oriental Bank of Commerce</t>
  </si>
  <si>
    <t>Awaldand</t>
  </si>
  <si>
    <t>(2) Punjab &amp; Sind Bank</t>
  </si>
  <si>
    <t>Sejwaya</t>
  </si>
  <si>
    <t>(3) State Bank of Bikaner &amp;  Jaipur</t>
  </si>
  <si>
    <t>Timayachi</t>
  </si>
  <si>
    <t>(4) Axis Bank</t>
  </si>
  <si>
    <t>Gumanpura</t>
  </si>
  <si>
    <t xml:space="preserve">KHANDWA(1) </t>
  </si>
  <si>
    <t>(1) Central Bank of India</t>
  </si>
  <si>
    <t>Khirala</t>
  </si>
  <si>
    <t>HOSHANGABAD(3)</t>
  </si>
  <si>
    <t>(1) Andhra Bank</t>
  </si>
  <si>
    <t>Bijanwada</t>
  </si>
  <si>
    <t>(2) Indian Bank</t>
  </si>
  <si>
    <t>Raipur</t>
  </si>
  <si>
    <t>(3) State Bank of India</t>
  </si>
  <si>
    <t>Sangakheda kalan*</t>
  </si>
  <si>
    <t>1*</t>
  </si>
  <si>
    <t>MANDSAUR(2)</t>
  </si>
  <si>
    <t>(1) Punjab National Bank</t>
  </si>
  <si>
    <t>Khilchipura</t>
  </si>
  <si>
    <t>(2) Bank of India</t>
  </si>
  <si>
    <t>Multanpura</t>
  </si>
  <si>
    <t xml:space="preserve">(1) MGB </t>
  </si>
  <si>
    <t>Itwan Kalan</t>
  </si>
  <si>
    <t>(2) State Bank of India</t>
  </si>
  <si>
    <t>Khora</t>
  </si>
  <si>
    <t>(3) Bank of India</t>
  </si>
  <si>
    <t>Nayagaon</t>
  </si>
  <si>
    <t xml:space="preserve">(4) Karnataka Bank </t>
  </si>
  <si>
    <t>Jaswant Pura</t>
  </si>
  <si>
    <t>(1) Bank of Baroda</t>
  </si>
  <si>
    <t>Aber</t>
  </si>
  <si>
    <t>(2) Union Bank of India</t>
  </si>
  <si>
    <t>Gantha</t>
  </si>
  <si>
    <t>(3) ICICI Bank</t>
  </si>
  <si>
    <t>Bhishampur</t>
  </si>
  <si>
    <t>(4) Canara Bank</t>
  </si>
  <si>
    <t>Kharam Seda</t>
  </si>
  <si>
    <t>(1) NJGB</t>
  </si>
  <si>
    <t>Bhonra</t>
  </si>
  <si>
    <t>(1) IDBI Bank</t>
  </si>
  <si>
    <t>Astaun Khas</t>
  </si>
  <si>
    <t>(2) South Indian Bank</t>
  </si>
  <si>
    <t>Bachhoda Khas</t>
  </si>
  <si>
    <t>(3) Bandhan Bank</t>
  </si>
  <si>
    <t>Chhandawani Khas</t>
  </si>
  <si>
    <t>(4) I D F C Bank</t>
  </si>
  <si>
    <t>Muhara Khas</t>
  </si>
  <si>
    <t xml:space="preserve">(5) Allahabad Bank </t>
  </si>
  <si>
    <t>Satguwan Khas</t>
  </si>
  <si>
    <t>(6) United Bank of India</t>
  </si>
  <si>
    <t>Biawarkhas</t>
  </si>
  <si>
    <t>*Sangakhedakalan village was originally allotted to SBI. IDFC has recently opened a branch in this village.</t>
  </si>
  <si>
    <t>TABLE: 25</t>
  </si>
  <si>
    <t>RRC(s) TABLE: 26</t>
  </si>
  <si>
    <t>Chief Minister Rural Housing Mission</t>
  </si>
  <si>
    <t>Bank Wise Mission's Progress   (Progress Upto 31/12/2016)
FY 2016-17</t>
  </si>
  <si>
    <t>Bank branches</t>
  </si>
  <si>
    <t>Target 
FY 2016-17</t>
  </si>
  <si>
    <t>No. of cases submitted to the bank</t>
  </si>
  <si>
    <t>No. of cases sanctioned by the bank</t>
  </si>
  <si>
    <t xml:space="preserve">No. of cases disbursed by the bank </t>
  </si>
  <si>
    <t>Percentage</t>
  </si>
  <si>
    <t>DCCB Ratlam</t>
  </si>
  <si>
    <t>DCCB Vidisha</t>
  </si>
  <si>
    <t>DCCB Mandsaur</t>
  </si>
  <si>
    <t xml:space="preserve">Punjab National Bank </t>
  </si>
  <si>
    <t xml:space="preserve">DCCB Betul </t>
  </si>
  <si>
    <t>Madhyanchal Gramin Bank</t>
  </si>
  <si>
    <t>Narmada Jhabua Gramin Bank</t>
  </si>
  <si>
    <t>Central Madhya Pradesh Gramin Bank</t>
  </si>
  <si>
    <t xml:space="preserve"> DCCB Sehore</t>
  </si>
  <si>
    <t>DCCB Indore</t>
  </si>
  <si>
    <t>TABLE: 28</t>
  </si>
  <si>
    <t>TABLE: 27</t>
  </si>
  <si>
    <t>PROGRESS UNDER PMEGP</t>
  </si>
  <si>
    <t>SHISHU</t>
  </si>
  <si>
    <t>KISHORE</t>
  </si>
  <si>
    <t>TARUN</t>
  </si>
  <si>
    <t>SR.NO</t>
  </si>
  <si>
    <t>BANK NAME</t>
  </si>
  <si>
    <t>TARGET (AMT.)</t>
  </si>
  <si>
    <t>PUBLIC SECTOR BANK SUB TOTAL</t>
  </si>
  <si>
    <t>SBBJ</t>
  </si>
  <si>
    <t>SBI GROUP BANK SUB TOTAL</t>
  </si>
  <si>
    <t>PRIVATE BANK SUB TOTAL</t>
  </si>
  <si>
    <t xml:space="preserve"> REGIONAL RURAL BANK SUB TOTAL</t>
  </si>
  <si>
    <t>CO-OPERATIVE BANK SUB TOTAL</t>
  </si>
  <si>
    <t>Amount in crores</t>
  </si>
  <si>
    <t>Table: 29</t>
  </si>
  <si>
    <t>NUMBERS IN ACTUAL</t>
  </si>
  <si>
    <t>AMOUNT IN CRORES</t>
  </si>
  <si>
    <t>WOMEN</t>
  </si>
  <si>
    <t>MALE</t>
  </si>
  <si>
    <t>GEN</t>
  </si>
  <si>
    <t xml:space="preserve">SC </t>
  </si>
  <si>
    <t xml:space="preserve">ST </t>
  </si>
  <si>
    <t>ST</t>
  </si>
  <si>
    <t>IDBI Bank Ltd.</t>
  </si>
  <si>
    <t>Punjab and Sind Bank</t>
  </si>
  <si>
    <t>Public Sector Sub-Total</t>
  </si>
  <si>
    <t>State Bank of Hyderabad</t>
  </si>
  <si>
    <t>State Bank Sub-Total</t>
  </si>
  <si>
    <t>IndusInd Bank</t>
  </si>
  <si>
    <t>Pvt.Banks Sub Total</t>
  </si>
  <si>
    <t>RRBs Sub-Total</t>
  </si>
  <si>
    <t>Table-30</t>
  </si>
  <si>
    <t>S. N.</t>
  </si>
  <si>
    <t>RSETI</t>
  </si>
  <si>
    <t>Targets F Y 2016-17</t>
  </si>
  <si>
    <t>Achievement F Y 16-17 as on January 2017</t>
  </si>
  <si>
    <t>Cummulative achievement since 01.04.11</t>
  </si>
  <si>
    <t>No. of pro.</t>
  </si>
  <si>
    <t>No of candidates</t>
  </si>
  <si>
    <t>No. of pro</t>
  </si>
  <si>
    <t>No. of candidates</t>
  </si>
  <si>
    <t>BPL</t>
  </si>
  <si>
    <t>APL</t>
  </si>
  <si>
    <t>SC</t>
  </si>
  <si>
    <t>OBC</t>
  </si>
  <si>
    <t>Minority</t>
  </si>
  <si>
    <t>No. of canidates trained</t>
  </si>
  <si>
    <t>No. of candidates settled</t>
  </si>
  <si>
    <t>BF</t>
  </si>
  <si>
    <t>SF</t>
  </si>
  <si>
    <t>WE</t>
  </si>
  <si>
    <t>ALHB Satna</t>
  </si>
  <si>
    <t>  25  </t>
  </si>
  <si>
    <t>  646  </t>
  </si>
  <si>
    <t>  396  </t>
  </si>
  <si>
    <t>  250  </t>
  </si>
  <si>
    <t>  148  </t>
  </si>
  <si>
    <t>  5  </t>
  </si>
  <si>
    <t>  270  </t>
  </si>
  <si>
    <t>  37  </t>
  </si>
  <si>
    <t>  143  </t>
  </si>
  <si>
    <t>  4116  </t>
  </si>
  <si>
    <t>  3215  </t>
  </si>
  <si>
    <t>  860  </t>
  </si>
  <si>
    <t>  2355  </t>
  </si>
  <si>
    <t>  107  </t>
  </si>
  <si>
    <t>BOB Alirajpur</t>
  </si>
  <si>
    <t>  15  </t>
  </si>
  <si>
    <t>  501  </t>
  </si>
  <si>
    <t>  496  </t>
  </si>
  <si>
    <t>  -  </t>
  </si>
  <si>
    <t>  81  </t>
  </si>
  <si>
    <t>  2315  </t>
  </si>
  <si>
    <t>  1599  </t>
  </si>
  <si>
    <t>  775  </t>
  </si>
  <si>
    <t>  824  </t>
  </si>
  <si>
    <t>  22  </t>
  </si>
  <si>
    <t>BOB Jhabua</t>
  </si>
  <si>
    <t>  23  </t>
  </si>
  <si>
    <t>  714  </t>
  </si>
  <si>
    <t>  412  </t>
  </si>
  <si>
    <t>  302  </t>
  </si>
  <si>
    <t>  39  </t>
  </si>
  <si>
    <t>  626  </t>
  </si>
  <si>
    <t>  33  </t>
  </si>
  <si>
    <t>  142  </t>
  </si>
  <si>
    <t>  4343  </t>
  </si>
  <si>
    <t>  2215  </t>
  </si>
  <si>
    <t>  482  </t>
  </si>
  <si>
    <t>  1733  </t>
  </si>
  <si>
    <t>  2  </t>
  </si>
  <si>
    <t>BOI Barwani</t>
  </si>
  <si>
    <t>  548  </t>
  </si>
  <si>
    <t>  481  </t>
  </si>
  <si>
    <t>  67  </t>
  </si>
  <si>
    <t>  31  </t>
  </si>
  <si>
    <t>  334  </t>
  </si>
  <si>
    <t>  144  </t>
  </si>
  <si>
    <t>  9  </t>
  </si>
  <si>
    <t>  79  </t>
  </si>
  <si>
    <t>  2263  </t>
  </si>
  <si>
    <t>  1201  </t>
  </si>
  <si>
    <t>  82  </t>
  </si>
  <si>
    <t>  1119  </t>
  </si>
  <si>
    <t>  35  </t>
  </si>
  <si>
    <t>BOI Bhopal</t>
  </si>
  <si>
    <t>  3  </t>
  </si>
  <si>
    <t>  98  </t>
  </si>
  <si>
    <t>  43  </t>
  </si>
  <si>
    <t>  55  </t>
  </si>
  <si>
    <t>  29  </t>
  </si>
  <si>
    <t>  77  </t>
  </si>
  <si>
    <t>  2243  </t>
  </si>
  <si>
    <t>  1780  </t>
  </si>
  <si>
    <t>  1294  </t>
  </si>
  <si>
    <t>  486  </t>
  </si>
  <si>
    <t>  52  </t>
  </si>
  <si>
    <t>BOI Burhanpur</t>
  </si>
  <si>
    <t>  17  </t>
  </si>
  <si>
    <t>  448  </t>
  </si>
  <si>
    <t>  84  </t>
  </si>
  <si>
    <t>  246  </t>
  </si>
  <si>
    <t>  94  </t>
  </si>
  <si>
    <t>  92  </t>
  </si>
  <si>
    <t>  2609  </t>
  </si>
  <si>
    <t>  1783  </t>
  </si>
  <si>
    <t>  278  </t>
  </si>
  <si>
    <t>  1505  </t>
  </si>
  <si>
    <t>  130  </t>
  </si>
  <si>
    <t>BOI Dewas</t>
  </si>
  <si>
    <t>  20  </t>
  </si>
  <si>
    <t>  559  </t>
  </si>
  <si>
    <t>  418  </t>
  </si>
  <si>
    <t>  141  </t>
  </si>
  <si>
    <t>  256  </t>
  </si>
  <si>
    <t>  47  </t>
  </si>
  <si>
    <t>  175  </t>
  </si>
  <si>
    <t>  32  </t>
  </si>
  <si>
    <t>  2704  </t>
  </si>
  <si>
    <t>  1301  </t>
  </si>
  <si>
    <t>  754  </t>
  </si>
  <si>
    <t>  547  </t>
  </si>
  <si>
    <t>  121  </t>
  </si>
  <si>
    <t>BOI Dhar</t>
  </si>
  <si>
    <t>  671  </t>
  </si>
  <si>
    <t>  375  </t>
  </si>
  <si>
    <t>  296  </t>
  </si>
  <si>
    <t>  104  </t>
  </si>
  <si>
    <t>  413  </t>
  </si>
  <si>
    <t>  113  </t>
  </si>
  <si>
    <t>  13  </t>
  </si>
  <si>
    <t>  2245  </t>
  </si>
  <si>
    <t>  1087  </t>
  </si>
  <si>
    <t>  390  </t>
  </si>
  <si>
    <t>  697  </t>
  </si>
  <si>
    <t>BOI Khandwa</t>
  </si>
  <si>
    <t>  24  </t>
  </si>
  <si>
    <t>  664  </t>
  </si>
  <si>
    <t>  343  </t>
  </si>
  <si>
    <t>  321  </t>
  </si>
  <si>
    <t>  112  </t>
  </si>
  <si>
    <t>  168  </t>
  </si>
  <si>
    <t>  289  </t>
  </si>
  <si>
    <t>  105  </t>
  </si>
  <si>
    <t>  2815  </t>
  </si>
  <si>
    <t>  1821  </t>
  </si>
  <si>
    <t>  561  </t>
  </si>
  <si>
    <t>  1260  </t>
  </si>
  <si>
    <t>  128  </t>
  </si>
  <si>
    <t>BOI Khargone</t>
  </si>
  <si>
    <t>  681  </t>
  </si>
  <si>
    <t>  374  </t>
  </si>
  <si>
    <t>  307  </t>
  </si>
  <si>
    <t>  76  </t>
  </si>
  <si>
    <t>  288  </t>
  </si>
  <si>
    <t>  276  </t>
  </si>
  <si>
    <t>  19  </t>
  </si>
  <si>
    <t>  90  </t>
  </si>
  <si>
    <t>  2606  </t>
  </si>
  <si>
    <t>  1736  </t>
  </si>
  <si>
    <t>  437  </t>
  </si>
  <si>
    <t>  1299  </t>
  </si>
  <si>
    <t>  75  </t>
  </si>
  <si>
    <t>BOI Rajgarh</t>
  </si>
  <si>
    <t>  682  </t>
  </si>
  <si>
    <t>  655  </t>
  </si>
  <si>
    <t>  27  </t>
  </si>
  <si>
    <t>  180  </t>
  </si>
  <si>
    <t>  8  </t>
  </si>
  <si>
    <t>  372  </t>
  </si>
  <si>
    <t>  155  </t>
  </si>
  <si>
    <t>  4741  </t>
  </si>
  <si>
    <t>  3762  </t>
  </si>
  <si>
    <t>  2920  </t>
  </si>
  <si>
    <t>  843  </t>
  </si>
  <si>
    <t>  188  </t>
  </si>
  <si>
    <t>BOI Sehore</t>
  </si>
  <si>
    <t>  14  </t>
  </si>
  <si>
    <t>  404  </t>
  </si>
  <si>
    <t>  327  </t>
  </si>
  <si>
    <t>  163  </t>
  </si>
  <si>
    <t>  7  </t>
  </si>
  <si>
    <t>  181  </t>
  </si>
  <si>
    <t>  2296  </t>
  </si>
  <si>
    <t>  1539  </t>
  </si>
  <si>
    <t>  1131  </t>
  </si>
  <si>
    <t>  408  </t>
  </si>
  <si>
    <t>  36  </t>
  </si>
  <si>
    <t>BOI Shajapur</t>
  </si>
  <si>
    <t>  21  </t>
  </si>
  <si>
    <t>  515  </t>
  </si>
  <si>
    <t>  149  </t>
  </si>
  <si>
    <t>  233  </t>
  </si>
  <si>
    <t>  18  </t>
  </si>
  <si>
    <t>  271  </t>
  </si>
  <si>
    <t>  74  </t>
  </si>
  <si>
    <t>  102  </t>
  </si>
  <si>
    <t>  2903  </t>
  </si>
  <si>
    <t>  1847  </t>
  </si>
  <si>
    <t>  381  </t>
  </si>
  <si>
    <t>  1469  </t>
  </si>
  <si>
    <t>  338  </t>
  </si>
  <si>
    <t>BOI Ujjain</t>
  </si>
  <si>
    <t>  565  </t>
  </si>
  <si>
    <t>  157  </t>
  </si>
  <si>
    <t>  209  </t>
  </si>
  <si>
    <t>  16  </t>
  </si>
  <si>
    <t>  194  </t>
  </si>
  <si>
    <t>  34  </t>
  </si>
  <si>
    <t>  2197  </t>
  </si>
  <si>
    <t>  1066  </t>
  </si>
  <si>
    <t>  262  </t>
  </si>
  <si>
    <t>  804  </t>
  </si>
  <si>
    <t>CBI Anuppur</t>
  </si>
  <si>
    <t>  545  </t>
  </si>
  <si>
    <t>  529  </t>
  </si>
  <si>
    <t>  312  </t>
  </si>
  <si>
    <t>  161  </t>
  </si>
  <si>
    <t>  1  </t>
  </si>
  <si>
    <t>  80  </t>
  </si>
  <si>
    <t>  1943  </t>
  </si>
  <si>
    <t>  1467  </t>
  </si>
  <si>
    <t>  309  </t>
  </si>
  <si>
    <t>  1158  </t>
  </si>
  <si>
    <t>CBI Balaghat</t>
  </si>
  <si>
    <t>  610  </t>
  </si>
  <si>
    <t>  411  </t>
  </si>
  <si>
    <t>  199  </t>
  </si>
  <si>
    <t>  59  </t>
  </si>
  <si>
    <t>  451  </t>
  </si>
  <si>
    <t>  2652  </t>
  </si>
  <si>
    <t>  1568  </t>
  </si>
  <si>
    <t>  1230  </t>
  </si>
  <si>
    <t>CBI Betul</t>
  </si>
  <si>
    <t>  422  </t>
  </si>
  <si>
    <t>  355  </t>
  </si>
  <si>
    <t>  191  </t>
  </si>
  <si>
    <t>  156  </t>
  </si>
  <si>
    <t>  63  </t>
  </si>
  <si>
    <t>  1415  </t>
  </si>
  <si>
    <t>  592  </t>
  </si>
  <si>
    <t>  399  </t>
  </si>
  <si>
    <t>  193  </t>
  </si>
  <si>
    <t>CBI Bhind</t>
  </si>
  <si>
    <t>  475  </t>
  </si>
  <si>
    <t>  236  </t>
  </si>
  <si>
    <t>  239  </t>
  </si>
  <si>
    <t>  267  </t>
  </si>
  <si>
    <t>  88  </t>
  </si>
  <si>
    <t>  30  </t>
  </si>
  <si>
    <t>  71  </t>
  </si>
  <si>
    <t>  1856  </t>
  </si>
  <si>
    <t>  1078  </t>
  </si>
  <si>
    <t>  259  </t>
  </si>
  <si>
    <t>  820  </t>
  </si>
  <si>
    <t>  96  </t>
  </si>
  <si>
    <t>CBI Chhindwara</t>
  </si>
  <si>
    <t>  661  </t>
  </si>
  <si>
    <t>  186  </t>
  </si>
  <si>
    <t>  273  </t>
  </si>
  <si>
    <t>  208  </t>
  </si>
  <si>
    <t>  1961  </t>
  </si>
  <si>
    <t>  1118  </t>
  </si>
  <si>
    <t>  303  </t>
  </si>
  <si>
    <t>  900  </t>
  </si>
  <si>
    <t>  138  </t>
  </si>
  <si>
    <t>CBI Dindori</t>
  </si>
  <si>
    <t>  517  </t>
  </si>
  <si>
    <t>  423  </t>
  </si>
  <si>
    <t>  333  </t>
  </si>
  <si>
    <t>  150  </t>
  </si>
  <si>
    <t>  115  </t>
  </si>
  <si>
    <t>  3188  </t>
  </si>
  <si>
    <t>  1863  </t>
  </si>
  <si>
    <t>  578  </t>
  </si>
  <si>
    <t>  1285  </t>
  </si>
  <si>
    <t>CBI Gwalior</t>
  </si>
  <si>
    <t>  12  </t>
  </si>
  <si>
    <t>  359  </t>
  </si>
  <si>
    <t>  122  </t>
  </si>
  <si>
    <t>  237  </t>
  </si>
  <si>
    <t>  137  </t>
  </si>
  <si>
    <t>  42  </t>
  </si>
  <si>
    <t>  109  </t>
  </si>
  <si>
    <t>  2369  </t>
  </si>
  <si>
    <t>  1292  </t>
  </si>
  <si>
    <t>  942  </t>
  </si>
  <si>
    <t>  350  </t>
  </si>
  <si>
    <t>  48  </t>
  </si>
  <si>
    <t>CBI Hoshangabad</t>
  </si>
  <si>
    <t>  440  </t>
  </si>
  <si>
    <t>  336  </t>
  </si>
  <si>
    <t>  57  </t>
  </si>
  <si>
    <t>  203  </t>
  </si>
  <si>
    <t>  2741  </t>
  </si>
  <si>
    <t>  1556  </t>
  </si>
  <si>
    <t>  871  </t>
  </si>
  <si>
    <t>  685  </t>
  </si>
  <si>
    <t>CBI Jabalpur</t>
  </si>
  <si>
    <t>  370  </t>
  </si>
  <si>
    <t>  274  </t>
  </si>
  <si>
    <t>  49  </t>
  </si>
  <si>
    <t>  145  </t>
  </si>
  <si>
    <t>  85  </t>
  </si>
  <si>
    <t>  2400  </t>
  </si>
  <si>
    <t>  1475  </t>
  </si>
  <si>
    <t>  1115  </t>
  </si>
  <si>
    <t>  360  </t>
  </si>
  <si>
    <t>  68  </t>
  </si>
  <si>
    <t>CBI Mandla</t>
  </si>
  <si>
    <t>  567  </t>
  </si>
  <si>
    <t>  217  </t>
  </si>
  <si>
    <t>  210  </t>
  </si>
  <si>
    <t>  4  </t>
  </si>
  <si>
    <t>  2152  </t>
  </si>
  <si>
    <t>  1374  </t>
  </si>
  <si>
    <t>  405  </t>
  </si>
  <si>
    <t>  970  </t>
  </si>
  <si>
    <t>  53  </t>
  </si>
  <si>
    <t>CBI Mandsaur</t>
  </si>
  <si>
    <t>  560  </t>
  </si>
  <si>
    <t>  329  </t>
  </si>
  <si>
    <t>  231  </t>
  </si>
  <si>
    <t>  335  </t>
  </si>
  <si>
    <t>  2972  </t>
  </si>
  <si>
    <t>  908  </t>
  </si>
  <si>
    <t>  1053  </t>
  </si>
  <si>
    <t>CBI Morena</t>
  </si>
  <si>
    <t>  467  </t>
  </si>
  <si>
    <t>  216  </t>
  </si>
  <si>
    <t>  251  </t>
  </si>
  <si>
    <t>  170  </t>
  </si>
  <si>
    <t>  11  </t>
  </si>
  <si>
    <t>  2142  </t>
  </si>
  <si>
    <t>  1289  </t>
  </si>
  <si>
    <t>  361  </t>
  </si>
  <si>
    <t>  929  </t>
  </si>
  <si>
    <t>  86  </t>
  </si>
  <si>
    <t>CBI Narsinghpur</t>
  </si>
  <si>
    <t>  487  </t>
  </si>
  <si>
    <t>  287  </t>
  </si>
  <si>
    <t>  200  </t>
  </si>
  <si>
    <t>  64  </t>
  </si>
  <si>
    <t>  4136  </t>
  </si>
  <si>
    <t>  3282  </t>
  </si>
  <si>
    <t>  2066  </t>
  </si>
  <si>
    <t>  1217  </t>
  </si>
  <si>
    <t>  99  </t>
  </si>
  <si>
    <t>CBI Raisen</t>
  </si>
  <si>
    <t>  631  </t>
  </si>
  <si>
    <t>  324  </t>
  </si>
  <si>
    <t>  114  </t>
  </si>
  <si>
    <t>  352  </t>
  </si>
  <si>
    <t>  3578  </t>
  </si>
  <si>
    <t>  2537  </t>
  </si>
  <si>
    <t>  2126  </t>
  </si>
  <si>
    <t>CBI Ratlam</t>
  </si>
  <si>
    <t>  28  </t>
  </si>
  <si>
    <t>  702  </t>
  </si>
  <si>
    <t>  430  </t>
  </si>
  <si>
    <t>  272  </t>
  </si>
  <si>
    <t>  182  </t>
  </si>
  <si>
    <t>  220  </t>
  </si>
  <si>
    <t>  125  </t>
  </si>
  <si>
    <t>  3824  </t>
  </si>
  <si>
    <t>  2855  </t>
  </si>
  <si>
    <t>  1345  </t>
  </si>
  <si>
    <t>  1510  </t>
  </si>
  <si>
    <t>CBI Sagar</t>
  </si>
  <si>
    <t>  255  </t>
  </si>
  <si>
    <t>  164  </t>
  </si>
  <si>
    <t>  91  </t>
  </si>
  <si>
    <t>  133  </t>
  </si>
  <si>
    <t>  4091  </t>
  </si>
  <si>
    <t>  2828  </t>
  </si>
  <si>
    <t>  1481  </t>
  </si>
  <si>
    <t>  1347  </t>
  </si>
  <si>
    <t>CBI Seoni</t>
  </si>
  <si>
    <t>  513  </t>
  </si>
  <si>
    <t>  326  </t>
  </si>
  <si>
    <t>  187  </t>
  </si>
  <si>
    <t>  70  </t>
  </si>
  <si>
    <t>  1753  </t>
  </si>
  <si>
    <t>  1096  </t>
  </si>
  <si>
    <t>  310  </t>
  </si>
  <si>
    <t>  786  </t>
  </si>
  <si>
    <t>  280  </t>
  </si>
  <si>
    <t>CBI Shahdol</t>
  </si>
  <si>
    <t>  668  </t>
  </si>
  <si>
    <t>  351  </t>
  </si>
  <si>
    <t>  136  </t>
  </si>
  <si>
    <t>  4211  </t>
  </si>
  <si>
    <t>  2790  </t>
  </si>
  <si>
    <t>  1101  </t>
  </si>
  <si>
    <t>  1689  </t>
  </si>
  <si>
    <t>PNB Datia</t>
  </si>
  <si>
    <t>  683  </t>
  </si>
  <si>
    <t>  314  </t>
  </si>
  <si>
    <t>  369  </t>
  </si>
  <si>
    <t>  4985  </t>
  </si>
  <si>
    <t>  2941  </t>
  </si>
  <si>
    <t>  717  </t>
  </si>
  <si>
    <t>  2224  </t>
  </si>
  <si>
    <t>  299  </t>
  </si>
  <si>
    <t>RUDSETI Bhopal</t>
  </si>
  <si>
    <t>  831  </t>
  </si>
  <si>
    <t>  364  </t>
  </si>
  <si>
    <t>  154  </t>
  </si>
  <si>
    <t>  153  </t>
  </si>
  <si>
    <t>  4368  </t>
  </si>
  <si>
    <t>  2586  </t>
  </si>
  <si>
    <t>  495  </t>
  </si>
  <si>
    <t>  2091  </t>
  </si>
  <si>
    <t>  789  </t>
  </si>
  <si>
    <t>SBI Ashok Nagar</t>
  </si>
  <si>
    <t>  185  </t>
  </si>
  <si>
    <t>  131  </t>
  </si>
  <si>
    <t>  100  </t>
  </si>
  <si>
    <t>  2443  </t>
  </si>
  <si>
    <t>  1349  </t>
  </si>
  <si>
    <t>  771  </t>
  </si>
  <si>
    <t>  325  </t>
  </si>
  <si>
    <t>SBI Chhatarpur</t>
  </si>
  <si>
    <t>  673  </t>
  </si>
  <si>
    <t>  417  </t>
  </si>
  <si>
    <t>  373  </t>
  </si>
  <si>
    <t>  38  </t>
  </si>
  <si>
    <t>  3451  </t>
  </si>
  <si>
    <t>  1798  </t>
  </si>
  <si>
    <t>  379  </t>
  </si>
  <si>
    <t>  1419  </t>
  </si>
  <si>
    <t>SBI Damoh</t>
  </si>
  <si>
    <t>  562  </t>
  </si>
  <si>
    <t>  533  </t>
  </si>
  <si>
    <t>  228  </t>
  </si>
  <si>
    <t>  4516  </t>
  </si>
  <si>
    <t>  2487  </t>
  </si>
  <si>
    <t>  389  </t>
  </si>
  <si>
    <t>  2098  </t>
  </si>
  <si>
    <t>  1160  </t>
  </si>
  <si>
    <t>SBI Guna</t>
  </si>
  <si>
    <t>  510  </t>
  </si>
  <si>
    <t>  403  </t>
  </si>
  <si>
    <t>  234  </t>
  </si>
  <si>
    <t>  178  </t>
  </si>
  <si>
    <t>  97  </t>
  </si>
  <si>
    <t>  2836  </t>
  </si>
  <si>
    <t>  1627  </t>
  </si>
  <si>
    <t>  258  </t>
  </si>
  <si>
    <t>  1369  </t>
  </si>
  <si>
    <t>  687  </t>
  </si>
  <si>
    <t>SBI Harda</t>
  </si>
  <si>
    <t>  368  </t>
  </si>
  <si>
    <t>  243  </t>
  </si>
  <si>
    <t>  2052  </t>
  </si>
  <si>
    <t>  1092  </t>
  </si>
  <si>
    <t>  123  </t>
  </si>
  <si>
    <t>  969  </t>
  </si>
  <si>
    <t>  213  </t>
  </si>
  <si>
    <t>SBI Katni</t>
  </si>
  <si>
    <t>  629  </t>
  </si>
  <si>
    <t>  62  </t>
  </si>
  <si>
    <t>  304  </t>
  </si>
  <si>
    <t>  2827  </t>
  </si>
  <si>
    <t>  2141  </t>
  </si>
  <si>
    <t>  424  </t>
  </si>
  <si>
    <t>  1719  </t>
  </si>
  <si>
    <t>SBI Neemuch</t>
  </si>
  <si>
    <t>  522  </t>
  </si>
  <si>
    <t>  252  </t>
  </si>
  <si>
    <t>  101  </t>
  </si>
  <si>
    <t>  290  </t>
  </si>
  <si>
    <t>  10  </t>
  </si>
  <si>
    <t>  95  </t>
  </si>
  <si>
    <t>  2304  </t>
  </si>
  <si>
    <t>  1606  </t>
  </si>
  <si>
    <t>  226  </t>
  </si>
  <si>
    <t>  1381  </t>
  </si>
  <si>
    <t>  637  </t>
  </si>
  <si>
    <t>SBI Panna</t>
  </si>
  <si>
    <t>  499  </t>
  </si>
  <si>
    <t>  127  </t>
  </si>
  <si>
    <t>  87  </t>
  </si>
  <si>
    <t>  253  </t>
  </si>
  <si>
    <t>  2591  </t>
  </si>
  <si>
    <t>  1166  </t>
  </si>
  <si>
    <t>  1080  </t>
  </si>
  <si>
    <t>SBI Sheopur</t>
  </si>
  <si>
    <t>  613  </t>
  </si>
  <si>
    <t>  401  </t>
  </si>
  <si>
    <t>  212  </t>
  </si>
  <si>
    <t>  40  </t>
  </si>
  <si>
    <t>  3494  </t>
  </si>
  <si>
    <t>  2093  </t>
  </si>
  <si>
    <t>  539  </t>
  </si>
  <si>
    <t>  1554  </t>
  </si>
  <si>
    <t>SBI Shivpuri</t>
  </si>
  <si>
    <t>  514  </t>
  </si>
  <si>
    <t>  387  </t>
  </si>
  <si>
    <t>  225  </t>
  </si>
  <si>
    <t>  2696  </t>
  </si>
  <si>
    <t>  1641  </t>
  </si>
  <si>
    <t>  1252  </t>
  </si>
  <si>
    <t>SBI Tikamgarh</t>
  </si>
  <si>
    <t>  480  </t>
  </si>
  <si>
    <t>  245  </t>
  </si>
  <si>
    <t>  6  </t>
  </si>
  <si>
    <t>  201  </t>
  </si>
  <si>
    <t>  120  </t>
  </si>
  <si>
    <t>  3102  </t>
  </si>
  <si>
    <t>  2087  </t>
  </si>
  <si>
    <t>  1841  </t>
  </si>
  <si>
    <t>  244  </t>
  </si>
  <si>
    <t>SBI Umaria</t>
  </si>
  <si>
    <t>  439  </t>
  </si>
  <si>
    <t>  341  </t>
  </si>
  <si>
    <t>  51  </t>
  </si>
  <si>
    <t>  195  </t>
  </si>
  <si>
    <t>  3120  </t>
  </si>
  <si>
    <t>  2333  </t>
  </si>
  <si>
    <t>SBI Vidisha</t>
  </si>
  <si>
    <t>  347  </t>
  </si>
  <si>
    <t>  54  </t>
  </si>
  <si>
    <t>  118  </t>
  </si>
  <si>
    <t>  2201  </t>
  </si>
  <si>
    <t>  1268  </t>
  </si>
  <si>
    <t>  1043  </t>
  </si>
  <si>
    <t>  215  </t>
  </si>
  <si>
    <t>UBI Rewa</t>
  </si>
  <si>
    <t>  566  </t>
  </si>
  <si>
    <t>  400  </t>
  </si>
  <si>
    <t>  166  </t>
  </si>
  <si>
    <t>  124  </t>
  </si>
  <si>
    <t>  3324  </t>
  </si>
  <si>
    <t>  1769  </t>
  </si>
  <si>
    <t>  524  </t>
  </si>
  <si>
    <t>  1247  </t>
  </si>
  <si>
    <t>UBI Sidhi</t>
  </si>
  <si>
    <t>  645  </t>
  </si>
  <si>
    <t>  446  </t>
  </si>
  <si>
    <t>  172  </t>
  </si>
  <si>
    <t>  2554  </t>
  </si>
  <si>
    <t>  1319  </t>
  </si>
  <si>
    <t>  269  </t>
  </si>
  <si>
    <t>  1052  </t>
  </si>
  <si>
    <t>  190  </t>
  </si>
  <si>
    <t>UBI singarauli</t>
  </si>
  <si>
    <t>  595  </t>
  </si>
  <si>
    <t>  318  </t>
  </si>
  <si>
    <t>  89  </t>
  </si>
  <si>
    <t>  2445  </t>
  </si>
  <si>
    <t>  1125  </t>
  </si>
  <si>
    <t>  599  </t>
  </si>
  <si>
    <t>  526  </t>
  </si>
  <si>
    <t>VB Indore</t>
  </si>
  <si>
    <t>  93  </t>
  </si>
  <si>
    <t>  73  </t>
  </si>
  <si>
    <t>  179  </t>
  </si>
  <si>
    <t>  119  </t>
  </si>
  <si>
    <t>  2613  </t>
  </si>
  <si>
    <t>  1752  </t>
  </si>
  <si>
    <t>  1379  </t>
  </si>
  <si>
    <t>  386  </t>
  </si>
  <si>
    <t>  991  </t>
  </si>
  <si>
    <t>  27628  </t>
  </si>
  <si>
    <t>  19376  </t>
  </si>
  <si>
    <t>  8252  </t>
  </si>
  <si>
    <t>  6167  </t>
  </si>
  <si>
    <t>  6592  </t>
  </si>
  <si>
    <t>  10790  </t>
  </si>
  <si>
    <t>  1254  </t>
  </si>
  <si>
    <t>  5319  </t>
  </si>
  <si>
    <t>  147702  </t>
  </si>
  <si>
    <t>  92153  </t>
  </si>
  <si>
    <t>  33036  </t>
  </si>
  <si>
    <t>  59218  </t>
  </si>
  <si>
    <t>  9171  </t>
  </si>
  <si>
    <t>PROGRESS UNDER RSETIs</t>
  </si>
  <si>
    <t>Table: 31</t>
  </si>
  <si>
    <t>TOTAL NO. OF A/CS OPENED IN PMJDY</t>
  </si>
  <si>
    <t>TOTAL NO. OF A/CS OPENED FOR MINORS IN PMJDY</t>
  </si>
  <si>
    <t xml:space="preserve">BALANCE HELD IN THE A/CS (IN CRORES)
</t>
  </si>
  <si>
    <t>NO. OF RUPAY CARD ISSUED</t>
  </si>
  <si>
    <t>NO. OF AADHAAR SEEDING IN THE A/CS</t>
  </si>
  <si>
    <t>NO. OF ZERO BAL. A/CS</t>
  </si>
  <si>
    <t>No. of PoS machine as on date</t>
  </si>
  <si>
    <t>No. of PoS deployed since 08.11.16</t>
  </si>
  <si>
    <t>No. of Internet Banking issued since 08.11.16</t>
  </si>
  <si>
    <t>No. of Internet Banking users as on date</t>
  </si>
  <si>
    <t>No. of Mobile Banking users as on date</t>
  </si>
  <si>
    <t>No. of UPI users as on date</t>
  </si>
  <si>
    <t>No. of Mobile Banking issued since 08.11.16</t>
  </si>
  <si>
    <t>`Deposits as on date</t>
  </si>
  <si>
    <t>Deposits as on 08.11.16 Rs. in crores</t>
  </si>
  <si>
    <t>NEFT transactions No. in the reporting month</t>
  </si>
  <si>
    <t>NEFT amt. in crores in the reporting month</t>
  </si>
  <si>
    <t>RTGS transactions No. in the reporting month</t>
  </si>
  <si>
    <t>RTGS amt. in crores in the reporting month</t>
  </si>
  <si>
    <t xml:space="preserve">Format for monitoring the performance of Banks </t>
  </si>
  <si>
    <t>Table: 34</t>
  </si>
  <si>
    <t>Data Table, State Level Banker's Committee, M.P. as on 31.12.2016 Page No.83</t>
  </si>
  <si>
    <t>Data Table, State Level Banker's Committee, M.P. as on 31.12.2016 Page No. 85</t>
  </si>
  <si>
    <t>Data Table, State Level Banker's Committee, M.P. as on 31.12.2016 Page No. 86</t>
  </si>
  <si>
    <t>Data Table, State Level Banker's Committee, M.P. as on 31.12.2016 Page No. 87</t>
  </si>
  <si>
    <t>Data Table, State Level Banker's Committee, M.P. as on 31.12.2016 Page No. 88</t>
  </si>
  <si>
    <t>Data Table, State Level Banker's Committee, M.P. as on 31.12.2016 Page No. 89</t>
  </si>
  <si>
    <t>Data Table, State Level Banker's Committee, M.P. as on 31.12.2016 Page No. 90</t>
  </si>
  <si>
    <t>Data Table, State Level Banker's Committee, M.P. as on 31.12.2016 Page No. 91</t>
  </si>
  <si>
    <t>Data Table, State Level Banker's Committee, M.P. as on 31.12.2016 Page No. 92</t>
  </si>
  <si>
    <t>Data Table, State Level Banker's Committee, M.P. as on 31.12.2016 Page No. 93</t>
  </si>
  <si>
    <t>Data Table, State Level Banker's Committee, M.P. as on 31.12.2016 Page No. 94</t>
  </si>
  <si>
    <t>Data Table, State Level Banker's Committee, M.P. as on 31.12.2016 Page No. 95</t>
  </si>
  <si>
    <t>Data Table, State Level Banker's Committee, M.P. as on 31.12.2016 Page No. 96</t>
  </si>
  <si>
    <t>Data Table, State Level Banker's Committee, M.P. as on 31.12.2016 Page No. 97</t>
  </si>
  <si>
    <t>Data Table, State Level Banker's Committee, M.P. as on 31.12.2016 Page No. 98</t>
  </si>
  <si>
    <t>Data Table, State Level Banker's Committee, M.P. as on 31.12.2016 Page No. 99</t>
  </si>
  <si>
    <t>Data Table, State Level Banker's Committee, M.P. as on 31.12.2016 Page No. 100</t>
  </si>
  <si>
    <t>Data Table, State Level Banker's Committee, M.P. as on 31.12.2016 Page No. 101</t>
  </si>
  <si>
    <t>Data Table, State Level Banker's Committee, M.P. as on 31.12.2016 Page No. 102</t>
  </si>
  <si>
    <t>Data Table, State Level Banker's Committee, M.P. as on 31.12.2016 Page No. 104</t>
  </si>
  <si>
    <t>Data Table, State Level Banker's Committee, M.P. as on 31.12.2016 Page No. 105</t>
  </si>
  <si>
    <t>PROGRESS UNDER MUDRA LOANS AS ON 31.12.2016</t>
  </si>
  <si>
    <t>PROGRESS UNDER STAND UP INDIA SCHEME AS ON 31.12.2016</t>
  </si>
  <si>
    <t>Data Table, State Level Banker's Committee, M.P. as on 31.12.2016 Page No. 106</t>
  </si>
  <si>
    <t>Data Table, State Level Banker's Committee, M.P. as on 31.12.2016 Page No. 108</t>
  </si>
  <si>
    <t>Progress under PMJDY as on 31.12.2016</t>
  </si>
  <si>
    <t>Data Table, State Level Banker's Committee, M.P. as on 31.12.2016 Page No. 109</t>
  </si>
  <si>
    <t xml:space="preserve">To be submitted by banks </t>
  </si>
  <si>
    <t xml:space="preserve">Bank  Wise </t>
  </si>
  <si>
    <t>25 Intensive Districts under NRLM</t>
  </si>
  <si>
    <t xml:space="preserve">Sl. no. </t>
  </si>
  <si>
    <t>Target 2016-17</t>
  </si>
  <si>
    <t>Submitted cases from April 2016</t>
  </si>
  <si>
    <t>Pending for disbursement out of sanction cases during previous yr.</t>
  </si>
  <si>
    <t>Sanctioned during the current year</t>
  </si>
  <si>
    <t xml:space="preserve">Total sanction      </t>
  </si>
  <si>
    <t>Returned by bank</t>
  </si>
  <si>
    <t xml:space="preserve">Pending for sanction </t>
  </si>
  <si>
    <t>Disbursement (Amt.in lakhs)</t>
  </si>
  <si>
    <t xml:space="preserve">Pending for disbursement </t>
  </si>
  <si>
    <t xml:space="preserve">NO. </t>
  </si>
  <si>
    <t xml:space="preserve">ALB </t>
  </si>
  <si>
    <t xml:space="preserve">ANDHRA BANK </t>
  </si>
  <si>
    <t xml:space="preserve">AXIS BANK </t>
  </si>
  <si>
    <t xml:space="preserve">BHANDHAN </t>
  </si>
  <si>
    <t xml:space="preserve">BOB </t>
  </si>
  <si>
    <t xml:space="preserve">BOI </t>
  </si>
  <si>
    <t xml:space="preserve">BOM </t>
  </si>
  <si>
    <t xml:space="preserve">CANARA BANK </t>
  </si>
  <si>
    <t xml:space="preserve">CBI </t>
  </si>
  <si>
    <t xml:space="preserve">CMPGB </t>
  </si>
  <si>
    <t xml:space="preserve">Corporation Bank </t>
  </si>
  <si>
    <t xml:space="preserve">DCCB </t>
  </si>
  <si>
    <t xml:space="preserve">DENA BANK </t>
  </si>
  <si>
    <t xml:space="preserve">HDFC BANK </t>
  </si>
  <si>
    <t xml:space="preserve">ICICI Bank </t>
  </si>
  <si>
    <t xml:space="preserve">IDBI BANK </t>
  </si>
  <si>
    <t xml:space="preserve">IOB </t>
  </si>
  <si>
    <t xml:space="preserve">KOTAK MAHINDRA  </t>
  </si>
  <si>
    <t xml:space="preserve">MGB </t>
  </si>
  <si>
    <t xml:space="preserve">NJGB </t>
  </si>
  <si>
    <t xml:space="preserve">OBC BANK </t>
  </si>
  <si>
    <t xml:space="preserve">P&amp;SIND </t>
  </si>
  <si>
    <t xml:space="preserve">PNB </t>
  </si>
  <si>
    <t xml:space="preserve">S.Mitra </t>
  </si>
  <si>
    <t xml:space="preserve">SBBJ </t>
  </si>
  <si>
    <t xml:space="preserve">SBI </t>
  </si>
  <si>
    <t xml:space="preserve">SINDICATE BANK </t>
  </si>
  <si>
    <t xml:space="preserve">UBI </t>
  </si>
  <si>
    <t xml:space="preserve">UCO Bank </t>
  </si>
  <si>
    <t xml:space="preserve">UNITED BANK </t>
  </si>
  <si>
    <t xml:space="preserve">VIJAYA BANK </t>
  </si>
  <si>
    <t xml:space="preserve">YES BANK </t>
  </si>
  <si>
    <r>
      <t xml:space="preserve">Bank Credit linkage information of M.P.State Rural Livelihood Mission (SRLM) for the period 1ST APRIL 2016 To Dec 2016..... </t>
    </r>
    <r>
      <rPr>
        <b/>
        <sz val="10"/>
        <rFont val="Calibri"/>
        <family val="2"/>
      </rPr>
      <t xml:space="preserve"> (Amount in lakhs.) FORMAT- VII Revised </t>
    </r>
  </si>
  <si>
    <t>Data Table, State Level Banker's Committee, M.P. as on 31.12.2016 Page No. 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</si>
</sst>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.00_ ;_ * \-#,##0.00_ ;_ * &quot;-&quot;??_ ;_ @_ "/>
    <numFmt numFmtId="165" formatCode="[$-409]mmm\-yy;@"/>
    <numFmt numFmtId="166" formatCode="[$-10409]0.00"/>
  </numFmts>
  <fonts count="67" x14ac:knownFonts="1">
    <font>
      <sz val="10"/>
      <color theme="4" tint="-0.2499465926084170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11"/>
      <color indexed="8"/>
      <name val="Calibri"/>
      <family val="2"/>
      <charset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49"/>
      <name val="Calibri"/>
      <family val="2"/>
    </font>
    <font>
      <sz val="8"/>
      <name val="Calibri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.5"/>
      <name val="Times New Roman"/>
      <family val="1"/>
    </font>
    <font>
      <sz val="14"/>
      <name val="Times New Roman"/>
      <family val="1"/>
    </font>
    <font>
      <b/>
      <sz val="10.5"/>
      <name val="Times New Roman"/>
      <family val="1"/>
    </font>
    <font>
      <sz val="10.5"/>
      <color indexed="8"/>
      <name val="Times New Roman"/>
      <family val="1"/>
    </font>
    <font>
      <i/>
      <sz val="10.5"/>
      <name val="Times New Roman"/>
      <family val="1"/>
    </font>
    <font>
      <sz val="10"/>
      <color theme="4" tint="-0.2499465926084170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4" tint="-0.24994659260841701"/>
      <name val="Calibri"/>
      <family val="2"/>
    </font>
    <font>
      <sz val="14"/>
      <color theme="4" tint="-0.24994659260841701"/>
      <name val="Calibri"/>
      <family val="2"/>
    </font>
    <font>
      <u/>
      <sz val="10"/>
      <color theme="10"/>
      <name val="Calibri"/>
      <family val="2"/>
    </font>
    <font>
      <sz val="10"/>
      <color rgb="FF00000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4"/>
      <color rgb="FFFF0000"/>
      <name val="Times New Roman"/>
      <family val="1"/>
    </font>
    <font>
      <sz val="10"/>
      <color theme="4" tint="-0.2499465926084170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14"/>
      <color theme="1"/>
      <name val="Times New Roman"/>
      <family val="1"/>
    </font>
    <font>
      <sz val="11"/>
      <name val="Calibri"/>
      <family val="2"/>
    </font>
    <font>
      <b/>
      <sz val="10"/>
      <color theme="4" tint="-0.24994659260841701"/>
      <name val="Times New Roman"/>
      <family val="1"/>
    </font>
    <font>
      <sz val="10.45"/>
      <name val="Times New Roman"/>
      <family val="1"/>
    </font>
    <font>
      <b/>
      <sz val="10.45"/>
      <name val="Times New Roman"/>
      <family val="1"/>
    </font>
    <font>
      <b/>
      <sz val="8"/>
      <name val="Tahoma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</font>
    <font>
      <b/>
      <sz val="14"/>
      <name val="Calibri"/>
      <family val="2"/>
      <scheme val="minor"/>
    </font>
    <font>
      <b/>
      <sz val="9"/>
      <name val="Calibri"/>
      <family val="2"/>
      <scheme val="minor"/>
    </font>
    <font>
      <sz val="10"/>
      <name val="Verdana"/>
      <family val="2"/>
    </font>
    <font>
      <sz val="9"/>
      <name val="Verdana"/>
      <family val="2"/>
    </font>
    <font>
      <b/>
      <sz val="10"/>
      <name val="Verdana"/>
      <family val="2"/>
    </font>
    <font>
      <b/>
      <sz val="11"/>
      <name val="Calibri"/>
      <family val="2"/>
      <scheme val="minor"/>
    </font>
    <font>
      <b/>
      <sz val="10.5"/>
      <color rgb="FF000000"/>
      <name val="Times New Roman"/>
      <family val="1"/>
    </font>
    <font>
      <b/>
      <sz val="10"/>
      <color rgb="FF000000"/>
      <name val="Times New Roman"/>
      <family val="1"/>
    </font>
    <font>
      <sz val="10.5"/>
      <color rgb="FF000000"/>
      <name val="Times New Roman"/>
      <family val="1"/>
    </font>
    <font>
      <b/>
      <sz val="11"/>
      <name val="Tahoma"/>
      <family val="2"/>
    </font>
    <font>
      <sz val="11"/>
      <name val="Calibri"/>
      <family val="2"/>
      <scheme val="minor"/>
    </font>
    <font>
      <b/>
      <sz val="11.95"/>
      <name val="Arial"/>
      <family val="2"/>
    </font>
    <font>
      <sz val="8"/>
      <name val="Tahoma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name val="Calibri"/>
      <family val="2"/>
    </font>
    <font>
      <b/>
      <sz val="10"/>
      <name val="Arial"/>
      <family val="2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rgb="FFFAF0E6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indexed="0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0">
    <xf numFmtId="0" fontId="0" fillId="0" borderId="0">
      <alignment vertical="top" wrapText="1"/>
    </xf>
    <xf numFmtId="164" fontId="21" fillId="0" borderId="0" applyFont="0" applyFill="0" applyBorder="0" applyAlignment="0" applyProtection="0"/>
    <xf numFmtId="43" fontId="13" fillId="0" borderId="0" applyFill="0" applyBorder="0" applyAlignment="0" applyProtection="0"/>
    <xf numFmtId="0" fontId="5" fillId="0" borderId="0"/>
    <xf numFmtId="0" fontId="1" fillId="0" borderId="0"/>
    <xf numFmtId="0" fontId="20" fillId="0" borderId="0" applyNumberFormat="0" applyFill="0" applyBorder="0" applyAlignment="0" applyProtection="0">
      <alignment vertical="top" wrapText="1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 wrapText="1"/>
    </xf>
    <xf numFmtId="0" fontId="13" fillId="0" borderId="0"/>
    <xf numFmtId="0" fontId="25" fillId="0" borderId="0"/>
    <xf numFmtId="0" fontId="20" fillId="0" borderId="0">
      <alignment vertical="top" wrapText="1"/>
    </xf>
    <xf numFmtId="0" fontId="25" fillId="0" borderId="0"/>
    <xf numFmtId="0" fontId="20" fillId="0" borderId="0">
      <alignment vertical="top" wrapText="1"/>
    </xf>
    <xf numFmtId="0" fontId="25" fillId="0" borderId="0"/>
    <xf numFmtId="0" fontId="25" fillId="0" borderId="0"/>
    <xf numFmtId="0" fontId="8" fillId="0" borderId="0">
      <alignment vertical="top" wrapText="1"/>
    </xf>
    <xf numFmtId="0" fontId="20" fillId="0" borderId="0">
      <alignment vertical="top" wrapText="1"/>
    </xf>
    <xf numFmtId="0" fontId="25" fillId="0" borderId="0"/>
    <xf numFmtId="0" fontId="25" fillId="0" borderId="0"/>
    <xf numFmtId="0" fontId="25" fillId="0" borderId="0"/>
    <xf numFmtId="0" fontId="14" fillId="0" borderId="0"/>
    <xf numFmtId="0" fontId="20" fillId="0" borderId="0">
      <alignment vertical="top" wrapText="1"/>
    </xf>
    <xf numFmtId="0" fontId="25" fillId="0" borderId="0"/>
    <xf numFmtId="0" fontId="20" fillId="0" borderId="0">
      <alignment vertical="top" wrapText="1"/>
    </xf>
    <xf numFmtId="0" fontId="20" fillId="0" borderId="0">
      <alignment vertical="top" wrapText="1"/>
    </xf>
    <xf numFmtId="0" fontId="25" fillId="0" borderId="0"/>
    <xf numFmtId="0" fontId="12" fillId="0" borderId="0"/>
    <xf numFmtId="0" fontId="20" fillId="0" borderId="0">
      <alignment vertical="top" wrapText="1"/>
    </xf>
    <xf numFmtId="0" fontId="20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>
      <alignment vertical="top" wrapText="1"/>
    </xf>
    <xf numFmtId="0" fontId="8" fillId="0" borderId="0">
      <alignment vertical="top" wrapText="1"/>
    </xf>
    <xf numFmtId="0" fontId="20" fillId="0" borderId="0">
      <alignment vertical="top" wrapText="1"/>
    </xf>
    <xf numFmtId="0" fontId="21" fillId="0" borderId="0"/>
    <xf numFmtId="0" fontId="20" fillId="0" borderId="0">
      <alignment vertical="top" wrapText="1"/>
    </xf>
    <xf numFmtId="0" fontId="8" fillId="0" borderId="0">
      <alignment vertical="top" wrapText="1"/>
    </xf>
    <xf numFmtId="0" fontId="20" fillId="0" borderId="0">
      <alignment vertical="top" wrapText="1"/>
    </xf>
    <xf numFmtId="0" fontId="21" fillId="0" borderId="0"/>
    <xf numFmtId="9" fontId="8" fillId="0" borderId="0" applyFont="0" applyFill="0" applyBorder="0" applyAlignment="0" applyProtection="0"/>
    <xf numFmtId="0" fontId="13" fillId="0" borderId="0"/>
  </cellStyleXfs>
  <cellXfs count="657">
    <xf numFmtId="0" fontId="0" fillId="0" borderId="0" xfId="0">
      <alignment vertical="top" wrapText="1"/>
    </xf>
    <xf numFmtId="0" fontId="7" fillId="2" borderId="1" xfId="0" applyFont="1" applyFill="1" applyBorder="1" applyAlignment="1">
      <alignment vertical="center"/>
    </xf>
    <xf numFmtId="2" fontId="3" fillId="2" borderId="0" xfId="0" applyNumberFormat="1" applyFont="1" applyFill="1" applyProtection="1">
      <alignment vertical="top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2" fillId="2" borderId="0" xfId="0" applyFont="1" applyFill="1">
      <alignment vertical="top" wrapText="1"/>
    </xf>
    <xf numFmtId="1" fontId="2" fillId="2" borderId="0" xfId="0" applyNumberFormat="1" applyFont="1" applyFill="1">
      <alignment vertical="top" wrapText="1"/>
    </xf>
    <xf numFmtId="1" fontId="2" fillId="2" borderId="0" xfId="0" applyNumberFormat="1" applyFont="1" applyFill="1" applyAlignment="1" applyProtection="1">
      <alignment horizontal="right" vertical="top" wrapTex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2" fontId="26" fillId="2" borderId="1" xfId="0" applyNumberFormat="1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2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2" fontId="26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2" fontId="27" fillId="2" borderId="1" xfId="0" applyNumberFormat="1" applyFont="1" applyFill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2" fontId="27" fillId="2" borderId="0" xfId="0" applyNumberFormat="1" applyFont="1" applyFill="1" applyAlignment="1">
      <alignment vertical="center"/>
    </xf>
    <xf numFmtId="0" fontId="26" fillId="2" borderId="0" xfId="0" applyFont="1" applyFill="1" applyAlignment="1">
      <alignment vertical="center"/>
    </xf>
    <xf numFmtId="1" fontId="2" fillId="2" borderId="0" xfId="0" applyNumberFormat="1" applyFont="1" applyFill="1" applyAlignment="1" applyProtection="1">
      <alignment horizontal="right" vertical="center"/>
      <protection locked="0"/>
    </xf>
    <xf numFmtId="1" fontId="2" fillId="2" borderId="0" xfId="0" applyNumberFormat="1" applyFont="1" applyFill="1" applyProtection="1">
      <alignment vertical="top" wrapText="1"/>
      <protection locked="0"/>
    </xf>
    <xf numFmtId="1" fontId="3" fillId="2" borderId="0" xfId="0" applyNumberFormat="1" applyFont="1" applyFill="1" applyProtection="1">
      <alignment vertical="top" wrapText="1"/>
      <protection locked="0"/>
    </xf>
    <xf numFmtId="2" fontId="2" fillId="2" borderId="0" xfId="0" applyNumberFormat="1" applyFont="1" applyFill="1">
      <alignment vertical="top" wrapText="1"/>
    </xf>
    <xf numFmtId="0" fontId="3" fillId="2" borderId="0" xfId="0" applyFont="1" applyFill="1" applyProtection="1">
      <alignment vertical="top" wrapText="1"/>
      <protection locked="0"/>
    </xf>
    <xf numFmtId="2" fontId="2" fillId="2" borderId="0" xfId="0" applyNumberFormat="1" applyFont="1" applyFill="1" applyProtection="1">
      <alignment vertical="top" wrapText="1"/>
      <protection locked="0"/>
    </xf>
    <xf numFmtId="0" fontId="2" fillId="2" borderId="0" xfId="0" applyFont="1" applyFill="1" applyAlignment="1" applyProtection="1">
      <alignment horizontal="center" vertical="top" wrapText="1"/>
      <protection locked="0"/>
    </xf>
    <xf numFmtId="0" fontId="7" fillId="2" borderId="0" xfId="0" applyFont="1" applyFill="1" applyProtection="1">
      <alignment vertical="top" wrapText="1"/>
      <protection locked="0"/>
    </xf>
    <xf numFmtId="2" fontId="7" fillId="2" borderId="0" xfId="0" applyNumberFormat="1" applyFont="1" applyFill="1" applyAlignment="1" applyProtection="1">
      <alignment horizontal="center" vertical="top" wrapText="1"/>
      <protection locked="0"/>
    </xf>
    <xf numFmtId="2" fontId="6" fillId="2" borderId="0" xfId="0" applyNumberFormat="1" applyFont="1" applyFill="1" applyProtection="1">
      <alignment vertical="top" wrapText="1"/>
      <protection locked="0"/>
    </xf>
    <xf numFmtId="0" fontId="7" fillId="2" borderId="0" xfId="0" applyFont="1" applyFill="1" applyAlignment="1" applyProtection="1">
      <alignment horizontal="center" vertical="top" wrapText="1"/>
      <protection locked="0"/>
    </xf>
    <xf numFmtId="1" fontId="7" fillId="2" borderId="0" xfId="0" applyNumberFormat="1" applyFont="1" applyFill="1" applyProtection="1">
      <alignment vertical="top" wrapText="1"/>
      <protection locked="0"/>
    </xf>
    <xf numFmtId="2" fontId="7" fillId="2" borderId="0" xfId="0" applyNumberFormat="1" applyFont="1" applyFill="1" applyProtection="1">
      <alignment vertical="top" wrapText="1"/>
      <protection locked="0"/>
    </xf>
    <xf numFmtId="0" fontId="16" fillId="2" borderId="0" xfId="0" applyFont="1" applyFill="1" applyProtection="1">
      <alignment vertical="top" wrapText="1"/>
      <protection locked="0"/>
    </xf>
    <xf numFmtId="2" fontId="16" fillId="2" borderId="0" xfId="0" applyNumberFormat="1" applyFont="1" applyFill="1" applyAlignment="1" applyProtection="1">
      <alignment horizontal="center" vertical="center" wrapText="1"/>
      <protection locked="0"/>
    </xf>
    <xf numFmtId="1" fontId="16" fillId="2" borderId="0" xfId="0" applyNumberFormat="1" applyFont="1" applyFill="1" applyProtection="1">
      <alignment vertical="top" wrapText="1"/>
      <protection locked="0"/>
    </xf>
    <xf numFmtId="0" fontId="16" fillId="2" borderId="0" xfId="0" applyFont="1" applyFill="1" applyAlignment="1" applyProtection="1">
      <alignment horizontal="center" vertical="top" wrapText="1"/>
      <protection locked="0"/>
    </xf>
    <xf numFmtId="1" fontId="6" fillId="2" borderId="0" xfId="0" applyNumberFormat="1" applyFont="1" applyFill="1" applyProtection="1">
      <alignment vertical="top" wrapText="1"/>
      <protection locked="0"/>
    </xf>
    <xf numFmtId="0" fontId="6" fillId="2" borderId="2" xfId="0" applyFont="1" applyFill="1" applyBorder="1" applyAlignment="1" applyProtection="1">
      <alignment vertical="center" wrapText="1"/>
      <protection locked="0"/>
    </xf>
    <xf numFmtId="1" fontId="6" fillId="2" borderId="3" xfId="0" applyNumberFormat="1" applyFont="1" applyFill="1" applyBorder="1" applyAlignment="1" applyProtection="1">
      <alignment horizontal="right" vertical="center" wrapText="1"/>
      <protection locked="0"/>
    </xf>
    <xf numFmtId="1" fontId="6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1" xfId="0" applyNumberFormat="1" applyFont="1" applyFill="1" applyBorder="1" applyAlignment="1" applyProtection="1">
      <alignment horizontal="right" vertical="center" wrapText="1"/>
    </xf>
    <xf numFmtId="2" fontId="6" fillId="2" borderId="0" xfId="0" applyNumberFormat="1" applyFont="1" applyFill="1" applyAlignment="1" applyProtection="1">
      <alignment vertical="center"/>
      <protection locked="0"/>
    </xf>
    <xf numFmtId="1" fontId="16" fillId="2" borderId="0" xfId="0" applyNumberFormat="1" applyFont="1" applyFill="1" applyAlignment="1" applyProtection="1">
      <alignment horizontal="right" vertical="top" wrapText="1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1" fontId="16" fillId="2" borderId="0" xfId="0" applyNumberFormat="1" applyFont="1" applyFill="1" applyAlignment="1" applyProtection="1">
      <alignment horizontal="right" vertical="center"/>
      <protection locked="0"/>
    </xf>
    <xf numFmtId="0" fontId="15" fillId="2" borderId="0" xfId="0" applyFont="1" applyFill="1" applyProtection="1">
      <alignment vertical="top" wrapText="1"/>
      <protection locked="0"/>
    </xf>
    <xf numFmtId="0" fontId="17" fillId="2" borderId="9" xfId="0" applyFont="1" applyFill="1" applyBorder="1" applyAlignment="1" applyProtection="1">
      <alignment vertical="center"/>
      <protection locked="0"/>
    </xf>
    <xf numFmtId="0" fontId="17" fillId="2" borderId="10" xfId="0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2" borderId="0" xfId="0" applyFont="1" applyFill="1" applyAlignment="1" applyProtection="1">
      <alignment horizontal="center" vertical="top" wrapText="1"/>
      <protection locked="0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2" borderId="1" xfId="56" applyFont="1" applyFill="1" applyBorder="1" applyAlignment="1" applyProtection="1">
      <alignment horizontal="center" vertical="top" wrapText="1"/>
      <protection locked="0"/>
    </xf>
    <xf numFmtId="0" fontId="15" fillId="2" borderId="1" xfId="56" applyFont="1" applyFill="1" applyBorder="1" applyAlignment="1"/>
    <xf numFmtId="1" fontId="15" fillId="2" borderId="1" xfId="56" applyNumberFormat="1" applyFont="1" applyFill="1" applyBorder="1" applyAlignment="1" applyProtection="1">
      <alignment horizontal="right" vertical="center" wrapText="1"/>
    </xf>
    <xf numFmtId="1" fontId="15" fillId="2" borderId="1" xfId="0" applyNumberFormat="1" applyFont="1" applyFill="1" applyBorder="1" applyAlignment="1" applyProtection="1">
      <alignment horizontal="right" vertical="center" wrapText="1"/>
    </xf>
    <xf numFmtId="2" fontId="15" fillId="2" borderId="1" xfId="56" applyNumberFormat="1" applyFont="1" applyFill="1" applyBorder="1" applyAlignment="1" applyProtection="1">
      <alignment horizontal="right" vertical="center" wrapText="1"/>
    </xf>
    <xf numFmtId="1" fontId="15" fillId="3" borderId="1" xfId="0" applyNumberFormat="1" applyFont="1" applyFill="1" applyBorder="1" applyAlignment="1">
      <alignment horizontal="right" vertical="top" wrapText="1"/>
    </xf>
    <xf numFmtId="1" fontId="15" fillId="2" borderId="1" xfId="56" applyNumberFormat="1" applyFont="1" applyFill="1" applyBorder="1" applyAlignment="1" applyProtection="1">
      <alignment horizontal="right" vertical="center"/>
      <protection locked="0"/>
    </xf>
    <xf numFmtId="1" fontId="15" fillId="2" borderId="1" xfId="56" applyNumberFormat="1" applyFont="1" applyFill="1" applyBorder="1" applyAlignment="1" applyProtection="1">
      <alignment horizontal="right" vertical="top" wrapText="1"/>
      <protection locked="0"/>
    </xf>
    <xf numFmtId="1" fontId="15" fillId="2" borderId="1" xfId="0" applyNumberFormat="1" applyFont="1" applyFill="1" applyBorder="1" applyAlignment="1">
      <alignment horizontal="right" vertical="center" wrapText="1"/>
    </xf>
    <xf numFmtId="1" fontId="15" fillId="2" borderId="1" xfId="18" applyNumberFormat="1" applyFont="1" applyFill="1" applyBorder="1" applyAlignment="1" applyProtection="1">
      <alignment horizontal="right" vertical="center" wrapText="1"/>
    </xf>
    <xf numFmtId="1" fontId="15" fillId="2" borderId="1" xfId="51" applyNumberFormat="1" applyFont="1" applyFill="1" applyBorder="1" applyAlignment="1" applyProtection="1">
      <alignment horizontal="right" vertical="center" wrapText="1"/>
      <protection locked="0"/>
    </xf>
    <xf numFmtId="1" fontId="15" fillId="2" borderId="1" xfId="23" applyNumberFormat="1" applyFont="1" applyFill="1" applyBorder="1" applyAlignment="1" applyProtection="1">
      <alignment horizontal="right" vertical="center" wrapText="1"/>
      <protection locked="0"/>
    </xf>
    <xf numFmtId="0" fontId="17" fillId="2" borderId="1" xfId="56" applyFont="1" applyFill="1" applyBorder="1" applyAlignment="1"/>
    <xf numFmtId="1" fontId="17" fillId="2" borderId="1" xfId="56" applyNumberFormat="1" applyFont="1" applyFill="1" applyBorder="1" applyAlignment="1" applyProtection="1">
      <alignment horizontal="right" vertical="center"/>
      <protection locked="0"/>
    </xf>
    <xf numFmtId="2" fontId="17" fillId="2" borderId="1" xfId="56" applyNumberFormat="1" applyFont="1" applyFill="1" applyBorder="1" applyAlignment="1" applyProtection="1">
      <alignment horizontal="right" vertical="center" wrapText="1"/>
    </xf>
    <xf numFmtId="1" fontId="15" fillId="2" borderId="1" xfId="56" applyNumberFormat="1" applyFont="1" applyFill="1" applyBorder="1" applyAlignment="1" applyProtection="1">
      <alignment horizontal="right" wrapText="1"/>
    </xf>
    <xf numFmtId="0" fontId="15" fillId="2" borderId="1" xfId="56" applyFont="1" applyFill="1" applyBorder="1" applyAlignment="1">
      <alignment horizontal="left" vertical="center" wrapText="1"/>
    </xf>
    <xf numFmtId="1" fontId="15" fillId="4" borderId="1" xfId="0" applyNumberFormat="1" applyFont="1" applyFill="1" applyBorder="1" applyAlignment="1">
      <alignment horizontal="right"/>
    </xf>
    <xf numFmtId="1" fontId="15" fillId="2" borderId="1" xfId="0" applyNumberFormat="1" applyFont="1" applyFill="1" applyBorder="1" applyAlignment="1">
      <alignment horizontal="right"/>
    </xf>
    <xf numFmtId="1" fontId="15" fillId="2" borderId="1" xfId="18" applyNumberFormat="1" applyFont="1" applyFill="1" applyBorder="1" applyAlignment="1" applyProtection="1">
      <alignment horizontal="right" vertical="center" wrapText="1"/>
      <protection locked="0"/>
    </xf>
    <xf numFmtId="1" fontId="15" fillId="2" borderId="1" xfId="18" applyNumberFormat="1" applyFont="1" applyFill="1" applyBorder="1" applyAlignment="1" applyProtection="1">
      <alignment horizontal="right" wrapText="1"/>
      <protection locked="0"/>
    </xf>
    <xf numFmtId="0" fontId="6" fillId="2" borderId="0" xfId="0" applyFont="1" applyFill="1" applyProtection="1">
      <alignment vertical="top" wrapText="1"/>
      <protection locked="0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11" xfId="0" applyFont="1" applyFill="1" applyBorder="1" applyAlignment="1">
      <alignment horizontal="left" vertical="center" wrapText="1"/>
    </xf>
    <xf numFmtId="1" fontId="6" fillId="2" borderId="12" xfId="0" applyNumberFormat="1" applyFont="1" applyFill="1" applyBorder="1" applyAlignment="1" applyProtection="1">
      <alignment vertical="top" wrapText="1"/>
      <protection locked="0"/>
    </xf>
    <xf numFmtId="1" fontId="28" fillId="2" borderId="1" xfId="0" applyNumberFormat="1" applyFont="1" applyFill="1" applyBorder="1" applyAlignment="1">
      <alignment horizontal="right" vertical="center"/>
    </xf>
    <xf numFmtId="2" fontId="29" fillId="2" borderId="1" xfId="0" applyNumberFormat="1" applyFont="1" applyFill="1" applyBorder="1" applyAlignment="1">
      <alignment horizontal="right" vertical="center"/>
    </xf>
    <xf numFmtId="0" fontId="28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/>
    <xf numFmtId="0" fontId="15" fillId="2" borderId="1" xfId="0" applyFont="1" applyFill="1" applyBorder="1" applyAlignment="1">
      <alignment wrapText="1"/>
    </xf>
    <xf numFmtId="1" fontId="29" fillId="2" borderId="1" xfId="0" applyNumberFormat="1" applyFont="1" applyFill="1" applyBorder="1" applyAlignment="1">
      <alignment horizontal="right" vertical="center"/>
    </xf>
    <xf numFmtId="1" fontId="18" fillId="3" borderId="1" xfId="0" applyNumberFormat="1" applyFont="1" applyFill="1" applyBorder="1" applyAlignment="1">
      <alignment horizontal="right" vertical="center"/>
    </xf>
    <xf numFmtId="0" fontId="30" fillId="2" borderId="1" xfId="0" applyFont="1" applyFill="1" applyBorder="1" applyAlignment="1">
      <alignment vertical="center"/>
    </xf>
    <xf numFmtId="1" fontId="17" fillId="2" borderId="1" xfId="0" applyNumberFormat="1" applyFont="1" applyFill="1" applyBorder="1" applyAlignment="1">
      <alignment horizontal="right" vertical="center"/>
    </xf>
    <xf numFmtId="2" fontId="17" fillId="2" borderId="1" xfId="0" applyNumberFormat="1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1" fontId="15" fillId="2" borderId="1" xfId="0" applyNumberFormat="1" applyFont="1" applyFill="1" applyBorder="1" applyAlignment="1">
      <alignment vertical="center"/>
    </xf>
    <xf numFmtId="2" fontId="15" fillId="2" borderId="1" xfId="0" applyNumberFormat="1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1" xfId="0" applyFont="1" applyFill="1" applyBorder="1" applyAlignment="1"/>
    <xf numFmtId="0" fontId="15" fillId="2" borderId="13" xfId="0" applyFont="1" applyFill="1" applyBorder="1" applyAlignment="1"/>
    <xf numFmtId="0" fontId="15" fillId="2" borderId="0" xfId="0" applyFont="1" applyFill="1" applyBorder="1" applyAlignment="1">
      <alignment wrapText="1"/>
    </xf>
    <xf numFmtId="0" fontId="17" fillId="2" borderId="11" xfId="0" applyFont="1" applyFill="1" applyBorder="1" applyAlignment="1">
      <alignment vertical="center"/>
    </xf>
    <xf numFmtId="1" fontId="17" fillId="2" borderId="1" xfId="0" applyNumberFormat="1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2" fontId="15" fillId="2" borderId="0" xfId="0" applyNumberFormat="1" applyFont="1" applyFill="1" applyAlignment="1">
      <alignment vertical="center"/>
    </xf>
    <xf numFmtId="2" fontId="17" fillId="2" borderId="1" xfId="0" applyNumberFormat="1" applyFont="1" applyFill="1" applyBorder="1" applyAlignment="1">
      <alignment horizontal="center" vertical="center"/>
    </xf>
    <xf numFmtId="1" fontId="15" fillId="2" borderId="0" xfId="0" applyNumberFormat="1" applyFont="1" applyFill="1" applyAlignment="1">
      <alignment vertical="center"/>
    </xf>
    <xf numFmtId="1" fontId="17" fillId="2" borderId="0" xfId="0" applyNumberFormat="1" applyFont="1" applyFill="1" applyAlignment="1">
      <alignment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2" fontId="15" fillId="2" borderId="1" xfId="58" applyNumberFormat="1" applyFont="1" applyFill="1" applyBorder="1" applyAlignment="1">
      <alignment vertical="center"/>
    </xf>
    <xf numFmtId="2" fontId="17" fillId="2" borderId="1" xfId="58" applyNumberFormat="1" applyFont="1" applyFill="1" applyBorder="1" applyAlignment="1">
      <alignment vertical="center"/>
    </xf>
    <xf numFmtId="1" fontId="15" fillId="2" borderId="13" xfId="0" applyNumberFormat="1" applyFont="1" applyFill="1" applyBorder="1" applyAlignment="1"/>
    <xf numFmtId="1" fontId="15" fillId="2" borderId="11" xfId="0" applyNumberFormat="1" applyFont="1" applyFill="1" applyBorder="1" applyAlignment="1">
      <alignment vertical="center"/>
    </xf>
    <xf numFmtId="1" fontId="15" fillId="2" borderId="0" xfId="0" applyNumberFormat="1" applyFont="1" applyFill="1" applyBorder="1" applyAlignment="1">
      <alignment wrapText="1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vertical="center" wrapText="1"/>
    </xf>
    <xf numFmtId="1" fontId="17" fillId="2" borderId="11" xfId="0" applyNumberFormat="1" applyFont="1" applyFill="1" applyBorder="1" applyAlignment="1">
      <alignment vertical="center"/>
    </xf>
    <xf numFmtId="1" fontId="15" fillId="2" borderId="11" xfId="0" applyNumberFormat="1" applyFont="1" applyFill="1" applyBorder="1" applyAlignment="1">
      <alignment vertical="center" wrapText="1"/>
    </xf>
    <xf numFmtId="1" fontId="15" fillId="2" borderId="13" xfId="0" applyNumberFormat="1" applyFont="1" applyFill="1" applyBorder="1" applyAlignment="1">
      <alignment vertical="center"/>
    </xf>
    <xf numFmtId="9" fontId="31" fillId="2" borderId="0" xfId="0" applyNumberFormat="1" applyFont="1" applyFill="1" applyAlignment="1">
      <alignment vertical="center"/>
    </xf>
    <xf numFmtId="1" fontId="2" fillId="2" borderId="1" xfId="0" applyNumberFormat="1" applyFont="1" applyFill="1" applyBorder="1" applyAlignment="1" applyProtection="1">
      <alignment horizontal="right" vertical="top" wrapText="1"/>
      <protection locked="0"/>
    </xf>
    <xf numFmtId="2" fontId="2" fillId="2" borderId="1" xfId="0" applyNumberFormat="1" applyFont="1" applyFill="1" applyBorder="1" applyAlignment="1" applyProtection="1">
      <alignment horizontal="right" vertical="top" wrapText="1"/>
      <protection locked="0"/>
    </xf>
    <xf numFmtId="1" fontId="3" fillId="2" borderId="1" xfId="0" applyNumberFormat="1" applyFont="1" applyFill="1" applyBorder="1" applyAlignment="1" applyProtection="1">
      <alignment horizontal="right" vertical="top" wrapText="1"/>
      <protection locked="0"/>
    </xf>
    <xf numFmtId="2" fontId="3" fillId="2" borderId="1" xfId="0" applyNumberFormat="1" applyFont="1" applyFill="1" applyBorder="1" applyAlignment="1" applyProtection="1">
      <alignment horizontal="right" vertical="top" wrapText="1"/>
      <protection locked="0"/>
    </xf>
    <xf numFmtId="1" fontId="2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2" fillId="2" borderId="0" xfId="0" applyNumberFormat="1" applyFont="1" applyFill="1" applyAlignment="1" applyProtection="1">
      <alignment horizontal="center" vertical="top" wrapText="1"/>
      <protection locked="0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2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 wrapText="1"/>
      <protection locked="0"/>
    </xf>
    <xf numFmtId="1" fontId="2" fillId="2" borderId="13" xfId="0" applyNumberFormat="1" applyFont="1" applyFill="1" applyBorder="1" applyAlignment="1" applyProtection="1">
      <alignment horizontal="right" vertical="center" wrapText="1"/>
      <protection locked="0"/>
    </xf>
    <xf numFmtId="1" fontId="2" fillId="2" borderId="0" xfId="0" applyNumberFormat="1" applyFont="1" applyFill="1" applyAlignment="1" applyProtection="1">
      <alignment horizontal="center" vertical="top" wrapText="1"/>
      <protection locked="0"/>
    </xf>
    <xf numFmtId="1" fontId="3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Protection="1">
      <alignment vertical="top" wrapText="1"/>
      <protection locked="0"/>
    </xf>
    <xf numFmtId="0" fontId="2" fillId="2" borderId="0" xfId="0" applyFont="1" applyFill="1" applyAlignment="1" applyProtection="1">
      <alignment horizontal="center" vertical="top" wrapText="1"/>
      <protection locked="0"/>
    </xf>
    <xf numFmtId="0" fontId="28" fillId="2" borderId="0" xfId="0" applyFont="1" applyFill="1" applyAlignment="1">
      <alignment vertical="center"/>
    </xf>
    <xf numFmtId="2" fontId="28" fillId="2" borderId="1" xfId="0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16" fillId="2" borderId="0" xfId="0" applyFont="1" applyFill="1" applyAlignment="1" applyProtection="1">
      <alignment vertical="center"/>
      <protection locked="0"/>
    </xf>
    <xf numFmtId="1" fontId="29" fillId="2" borderId="0" xfId="0" applyNumberFormat="1" applyFont="1" applyFill="1" applyAlignment="1">
      <alignment vertical="center"/>
    </xf>
    <xf numFmtId="1" fontId="28" fillId="2" borderId="0" xfId="0" applyNumberFormat="1" applyFont="1" applyFill="1" applyAlignment="1">
      <alignment vertical="center"/>
    </xf>
    <xf numFmtId="2" fontId="29" fillId="2" borderId="0" xfId="0" applyNumberFormat="1" applyFont="1" applyFill="1" applyAlignment="1">
      <alignment vertical="center"/>
    </xf>
    <xf numFmtId="2" fontId="28" fillId="2" borderId="0" xfId="0" applyNumberFormat="1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28" fillId="2" borderId="11" xfId="0" applyFont="1" applyFill="1" applyBorder="1" applyAlignment="1">
      <alignment vertical="center"/>
    </xf>
    <xf numFmtId="1" fontId="28" fillId="2" borderId="1" xfId="0" applyNumberFormat="1" applyFont="1" applyFill="1" applyBorder="1" applyAlignment="1">
      <alignment vertical="center"/>
    </xf>
    <xf numFmtId="0" fontId="28" fillId="2" borderId="11" xfId="0" applyFont="1" applyFill="1" applyBorder="1" applyAlignment="1">
      <alignment vertical="center" wrapText="1"/>
    </xf>
    <xf numFmtId="0" fontId="29" fillId="2" borderId="11" xfId="0" applyFont="1" applyFill="1" applyBorder="1" applyAlignment="1">
      <alignment vertical="center"/>
    </xf>
    <xf numFmtId="1" fontId="29" fillId="2" borderId="1" xfId="0" applyNumberFormat="1" applyFont="1" applyFill="1" applyBorder="1" applyAlignment="1">
      <alignment vertical="center"/>
    </xf>
    <xf numFmtId="0" fontId="28" fillId="2" borderId="13" xfId="0" applyFont="1" applyFill="1" applyBorder="1" applyAlignment="1">
      <alignment vertical="center"/>
    </xf>
    <xf numFmtId="1" fontId="19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 applyProtection="1">
      <alignment horizontal="right" vertical="center"/>
      <protection locked="0"/>
    </xf>
    <xf numFmtId="1" fontId="32" fillId="2" borderId="0" xfId="0" applyNumberFormat="1" applyFont="1" applyFill="1" applyAlignment="1" applyProtection="1">
      <alignment vertical="center"/>
      <protection locked="0"/>
    </xf>
    <xf numFmtId="0" fontId="32" fillId="2" borderId="0" xfId="0" applyFont="1" applyFill="1" applyAlignment="1" applyProtection="1">
      <alignment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1" fontId="7" fillId="2" borderId="0" xfId="0" applyNumberFormat="1" applyFont="1" applyFill="1" applyAlignment="1" applyProtection="1">
      <alignment vertical="top"/>
      <protection locked="0"/>
    </xf>
    <xf numFmtId="1" fontId="7" fillId="2" borderId="0" xfId="0" applyNumberFormat="1" applyFont="1" applyFill="1" applyAlignment="1" applyProtection="1">
      <alignment horizontal="center" vertical="top" wrapText="1"/>
      <protection locked="0"/>
    </xf>
    <xf numFmtId="1" fontId="6" fillId="2" borderId="11" xfId="0" applyNumberFormat="1" applyFont="1" applyFill="1" applyBorder="1" applyAlignment="1" applyProtection="1">
      <alignment horizontal="center" vertical="center" wrapText="1"/>
      <protection locked="0"/>
    </xf>
    <xf numFmtId="1" fontId="28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vertical="center"/>
    </xf>
    <xf numFmtId="1" fontId="29" fillId="0" borderId="1" xfId="0" applyNumberFormat="1" applyFont="1" applyBorder="1" applyAlignment="1">
      <alignment horizontal="center" vertical="center"/>
    </xf>
    <xf numFmtId="1" fontId="29" fillId="0" borderId="1" xfId="0" applyNumberFormat="1" applyFont="1" applyBorder="1" applyAlignment="1">
      <alignment vertical="center"/>
    </xf>
    <xf numFmtId="1" fontId="2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 applyProtection="1">
      <alignment vertical="center" wrapText="1"/>
      <protection locked="0"/>
    </xf>
    <xf numFmtId="1" fontId="2" fillId="2" borderId="0" xfId="0" applyNumberFormat="1" applyFont="1" applyFill="1" applyAlignment="1" applyProtection="1">
      <alignment vertical="center" wrapText="1"/>
      <protection locked="0"/>
    </xf>
    <xf numFmtId="2" fontId="2" fillId="2" borderId="0" xfId="0" applyNumberFormat="1" applyFont="1" applyFill="1" applyAlignment="1">
      <alignment vertical="center" wrapText="1"/>
    </xf>
    <xf numFmtId="1" fontId="17" fillId="2" borderId="1" xfId="0" applyNumberFormat="1" applyFont="1" applyFill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1" fontId="15" fillId="2" borderId="1" xfId="0" applyNumberFormat="1" applyFont="1" applyFill="1" applyBorder="1">
      <alignment vertical="top" wrapText="1"/>
    </xf>
    <xf numFmtId="0" fontId="29" fillId="0" borderId="1" xfId="0" applyFont="1" applyBorder="1" applyAlignment="1">
      <alignment horizontal="center" vertical="center"/>
    </xf>
    <xf numFmtId="1" fontId="17" fillId="2" borderId="1" xfId="0" applyNumberFormat="1" applyFont="1" applyFill="1" applyBorder="1">
      <alignment vertical="top" wrapText="1"/>
    </xf>
    <xf numFmtId="0" fontId="28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1" fontId="28" fillId="2" borderId="1" xfId="0" applyNumberFormat="1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" xfId="0" applyFont="1" applyFill="1" applyBorder="1" applyAlignment="1">
      <alignment vertical="center" wrapText="1"/>
    </xf>
    <xf numFmtId="0" fontId="3" fillId="2" borderId="0" xfId="0" applyFont="1" applyFill="1">
      <alignment vertical="top" wrapText="1"/>
    </xf>
    <xf numFmtId="1" fontId="15" fillId="2" borderId="1" xfId="0" applyNumberFormat="1" applyFont="1" applyFill="1" applyBorder="1" applyProtection="1">
      <alignment vertical="top" wrapText="1"/>
      <protection locked="0"/>
    </xf>
    <xf numFmtId="0" fontId="28" fillId="0" borderId="1" xfId="0" applyFont="1" applyBorder="1" applyAlignment="1">
      <alignment vertical="center" wrapText="1"/>
    </xf>
    <xf numFmtId="0" fontId="28" fillId="0" borderId="10" xfId="0" applyFont="1" applyBorder="1" applyAlignment="1">
      <alignment vertical="center"/>
    </xf>
    <xf numFmtId="1" fontId="17" fillId="2" borderId="1" xfId="0" applyNumberFormat="1" applyFont="1" applyFill="1" applyBorder="1" applyProtection="1">
      <alignment vertical="top" wrapText="1"/>
      <protection locked="0"/>
    </xf>
    <xf numFmtId="0" fontId="28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vertical="center"/>
    </xf>
    <xf numFmtId="1" fontId="15" fillId="2" borderId="17" xfId="0" applyNumberFormat="1" applyFont="1" applyFill="1" applyBorder="1" applyProtection="1">
      <alignment vertical="top" wrapText="1"/>
      <protection locked="0"/>
    </xf>
    <xf numFmtId="2" fontId="10" fillId="2" borderId="0" xfId="0" applyNumberFormat="1" applyFont="1" applyFill="1" applyProtection="1">
      <alignment vertical="top" wrapText="1"/>
      <protection locked="0"/>
    </xf>
    <xf numFmtId="1" fontId="10" fillId="2" borderId="0" xfId="0" applyNumberFormat="1" applyFont="1" applyFill="1" applyProtection="1">
      <alignment vertical="top" wrapText="1"/>
      <protection locked="0"/>
    </xf>
    <xf numFmtId="1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Protection="1">
      <alignment vertical="top" wrapText="1"/>
      <protection locked="0"/>
    </xf>
    <xf numFmtId="1" fontId="6" fillId="2" borderId="0" xfId="0" applyNumberFormat="1" applyFont="1" applyFill="1" applyAlignment="1" applyProtection="1">
      <alignment vertical="center"/>
      <protection locked="0"/>
    </xf>
    <xf numFmtId="1" fontId="15" fillId="2" borderId="1" xfId="0" applyNumberFormat="1" applyFont="1" applyFill="1" applyBorder="1" applyAlignment="1" applyProtection="1">
      <alignment vertical="top" wrapText="1"/>
      <protection locked="0"/>
    </xf>
    <xf numFmtId="1" fontId="15" fillId="2" borderId="1" xfId="0" applyNumberFormat="1" applyFont="1" applyFill="1" applyBorder="1" applyAlignment="1" applyProtection="1">
      <alignment vertical="center" wrapText="1"/>
      <protection locked="0"/>
    </xf>
    <xf numFmtId="0" fontId="15" fillId="2" borderId="1" xfId="0" applyFont="1" applyFill="1" applyBorder="1" applyProtection="1">
      <alignment vertical="top" wrapText="1"/>
      <protection locked="0"/>
    </xf>
    <xf numFmtId="1" fontId="15" fillId="2" borderId="1" xfId="18" applyNumberFormat="1" applyFont="1" applyFill="1" applyBorder="1" applyAlignment="1" applyProtection="1">
      <alignment vertical="top" wrapText="1"/>
      <protection locked="0"/>
    </xf>
    <xf numFmtId="1" fontId="15" fillId="2" borderId="1" xfId="18" applyNumberFormat="1" applyFont="1" applyFill="1" applyBorder="1" applyAlignment="1" applyProtection="1">
      <alignment vertical="center" wrapText="1"/>
      <protection locked="0"/>
    </xf>
    <xf numFmtId="0" fontId="15" fillId="3" borderId="1" xfId="0" applyFont="1" applyFill="1" applyBorder="1" applyProtection="1">
      <alignment vertical="top" wrapText="1"/>
      <protection locked="0"/>
    </xf>
    <xf numFmtId="2" fontId="17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>
      <alignment vertical="top" wrapText="1"/>
    </xf>
    <xf numFmtId="0" fontId="33" fillId="2" borderId="0" xfId="0" applyFont="1" applyFill="1">
      <alignment vertical="top" wrapText="1"/>
    </xf>
    <xf numFmtId="1" fontId="10" fillId="2" borderId="0" xfId="0" applyNumberFormat="1" applyFont="1" applyFill="1">
      <alignment vertical="top" wrapText="1"/>
    </xf>
    <xf numFmtId="1" fontId="33" fillId="2" borderId="0" xfId="0" applyNumberFormat="1" applyFont="1" applyFill="1">
      <alignment vertical="top" wrapText="1"/>
    </xf>
    <xf numFmtId="1" fontId="15" fillId="3" borderId="1" xfId="0" applyNumberFormat="1" applyFont="1" applyFill="1" applyBorder="1" applyAlignment="1" applyProtection="1">
      <alignment horizontal="right" vertical="center" wrapText="1"/>
      <protection locked="0"/>
    </xf>
    <xf numFmtId="1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36" fillId="2" borderId="0" xfId="0" applyNumberFormat="1" applyFont="1" applyFill="1">
      <alignment vertical="top" wrapText="1"/>
    </xf>
    <xf numFmtId="1" fontId="16" fillId="2" borderId="0" xfId="0" applyNumberFormat="1" applyFont="1" applyFill="1" applyAlignment="1" applyProtection="1">
      <alignment vertical="center"/>
      <protection locked="0"/>
    </xf>
    <xf numFmtId="2" fontId="7" fillId="2" borderId="1" xfId="0" applyNumberFormat="1" applyFont="1" applyFill="1" applyBorder="1" applyAlignment="1">
      <alignment vertical="center"/>
    </xf>
    <xf numFmtId="2" fontId="7" fillId="2" borderId="1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center" vertical="center"/>
    </xf>
    <xf numFmtId="1" fontId="17" fillId="2" borderId="1" xfId="56" applyNumberFormat="1" applyFont="1" applyFill="1" applyBorder="1" applyAlignment="1" applyProtection="1">
      <alignment horizontal="center" vertical="center" wrapText="1"/>
      <protection locked="0"/>
    </xf>
    <xf numFmtId="1" fontId="15" fillId="2" borderId="1" xfId="0" applyNumberFormat="1" applyFont="1" applyFill="1" applyBorder="1" applyAlignment="1" applyProtection="1">
      <alignment horizontal="right" vertical="center"/>
      <protection locked="0"/>
    </xf>
    <xf numFmtId="1" fontId="15" fillId="2" borderId="1" xfId="0" applyNumberFormat="1" applyFont="1" applyFill="1" applyBorder="1" applyAlignment="1" applyProtection="1">
      <alignment vertical="center"/>
      <protection locked="0"/>
    </xf>
    <xf numFmtId="1" fontId="15" fillId="2" borderId="0" xfId="0" applyNumberFormat="1" applyFont="1" applyFill="1" applyAlignment="1" applyProtection="1">
      <alignment vertical="center"/>
      <protection locked="0"/>
    </xf>
    <xf numFmtId="2" fontId="15" fillId="2" borderId="0" xfId="0" applyNumberFormat="1" applyFont="1" applyFill="1" applyAlignment="1" applyProtection="1">
      <alignment vertical="center"/>
      <protection locked="0"/>
    </xf>
    <xf numFmtId="2" fontId="15" fillId="2" borderId="1" xfId="0" applyNumberFormat="1" applyFont="1" applyFill="1" applyBorder="1" applyAlignment="1" applyProtection="1">
      <alignment vertical="center"/>
      <protection locked="0"/>
    </xf>
    <xf numFmtId="1" fontId="17" fillId="2" borderId="1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 wrapText="1"/>
    </xf>
    <xf numFmtId="0" fontId="15" fillId="2" borderId="11" xfId="0" applyFont="1" applyFill="1" applyBorder="1" applyAlignment="1">
      <alignment wrapText="1"/>
    </xf>
    <xf numFmtId="2" fontId="32" fillId="2" borderId="0" xfId="0" applyNumberFormat="1" applyFont="1" applyFill="1" applyAlignment="1" applyProtection="1">
      <alignment vertical="center"/>
      <protection locked="0"/>
    </xf>
    <xf numFmtId="0" fontId="15" fillId="2" borderId="16" xfId="56" applyFont="1" applyFill="1" applyBorder="1" applyAlignment="1" applyProtection="1">
      <alignment horizontal="center" vertical="top" wrapText="1"/>
      <protection locked="0"/>
    </xf>
    <xf numFmtId="0" fontId="17" fillId="2" borderId="16" xfId="56" applyFont="1" applyFill="1" applyBorder="1" applyAlignment="1"/>
    <xf numFmtId="1" fontId="17" fillId="2" borderId="16" xfId="56" applyNumberFormat="1" applyFont="1" applyFill="1" applyBorder="1" applyAlignment="1" applyProtection="1">
      <alignment horizontal="right" vertical="center"/>
      <protection locked="0"/>
    </xf>
    <xf numFmtId="2" fontId="17" fillId="2" borderId="16" xfId="56" applyNumberFormat="1" applyFont="1" applyFill="1" applyBorder="1" applyAlignment="1" applyProtection="1">
      <alignment horizontal="right" vertical="center" wrapText="1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right" vertical="center"/>
    </xf>
    <xf numFmtId="1" fontId="2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9" fontId="15" fillId="2" borderId="0" xfId="0" applyNumberFormat="1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2" fontId="7" fillId="2" borderId="11" xfId="0" applyNumberFormat="1" applyFont="1" applyFill="1" applyBorder="1" applyAlignment="1">
      <alignment vertical="center"/>
    </xf>
    <xf numFmtId="0" fontId="15" fillId="2" borderId="1" xfId="0" applyFont="1" applyFill="1" applyBorder="1" applyAlignment="1" applyProtection="1">
      <alignment horizontal="right" vertical="center"/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1" fontId="29" fillId="2" borderId="1" xfId="0" applyNumberFormat="1" applyFont="1" applyFill="1" applyBorder="1" applyAlignment="1">
      <alignment horizontal="center" vertical="center"/>
    </xf>
    <xf numFmtId="1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Protection="1">
      <alignment vertical="top" wrapText="1"/>
      <protection locked="0"/>
    </xf>
    <xf numFmtId="1" fontId="15" fillId="2" borderId="0" xfId="0" applyNumberFormat="1" applyFont="1" applyFill="1" applyProtection="1">
      <alignment vertical="top" wrapText="1"/>
      <protection locked="0"/>
    </xf>
    <xf numFmtId="0" fontId="15" fillId="2" borderId="1" xfId="0" applyFont="1" applyFill="1" applyBorder="1" applyAlignment="1" applyProtection="1">
      <alignment horizontal="center" vertical="top" wrapText="1"/>
      <protection locked="0"/>
    </xf>
    <xf numFmtId="0" fontId="17" fillId="2" borderId="1" xfId="0" applyFont="1" applyFill="1" applyBorder="1" applyAlignment="1" applyProtection="1">
      <alignment horizontal="center" vertical="top" wrapText="1"/>
      <protection locked="0"/>
    </xf>
    <xf numFmtId="0" fontId="17" fillId="2" borderId="1" xfId="0" applyFont="1" applyFill="1" applyBorder="1" applyProtection="1">
      <alignment vertical="top" wrapText="1"/>
      <protection locked="0"/>
    </xf>
    <xf numFmtId="0" fontId="17" fillId="2" borderId="0" xfId="0" applyFont="1" applyFill="1" applyProtection="1">
      <alignment vertical="top" wrapText="1"/>
      <protection locked="0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" fontId="15" fillId="0" borderId="1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2" fontId="15" fillId="0" borderId="1" xfId="0" applyNumberFormat="1" applyFont="1" applyFill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2" fontId="15" fillId="2" borderId="23" xfId="0" applyNumberFormat="1" applyFont="1" applyFill="1" applyBorder="1" applyAlignment="1">
      <alignment vertical="center" wrapText="1"/>
    </xf>
    <xf numFmtId="2" fontId="17" fillId="2" borderId="23" xfId="0" applyNumberFormat="1" applyFont="1" applyFill="1" applyBorder="1" applyAlignment="1">
      <alignment vertical="center" wrapText="1"/>
    </xf>
    <xf numFmtId="2" fontId="17" fillId="2" borderId="18" xfId="0" applyNumberFormat="1" applyFont="1" applyFill="1" applyBorder="1" applyAlignment="1">
      <alignment vertical="center" wrapText="1"/>
    </xf>
    <xf numFmtId="1" fontId="15" fillId="2" borderId="1" xfId="0" applyNumberFormat="1" applyFont="1" applyFill="1" applyBorder="1" applyAlignment="1" applyProtection="1">
      <alignment horizontal="right" vertical="center" wrapText="1"/>
      <protection locked="0"/>
    </xf>
    <xf numFmtId="1" fontId="28" fillId="0" borderId="1" xfId="0" applyNumberFormat="1" applyFont="1" applyBorder="1" applyAlignment="1">
      <alignment vertical="center" wrapText="1"/>
    </xf>
    <xf numFmtId="1" fontId="17" fillId="2" borderId="1" xfId="0" applyNumberFormat="1" applyFont="1" applyFill="1" applyBorder="1" applyAlignment="1" applyProtection="1">
      <alignment horizontal="right" vertical="center" wrapText="1"/>
      <protection locked="0"/>
    </xf>
    <xf numFmtId="1" fontId="15" fillId="2" borderId="1" xfId="0" applyNumberFormat="1" applyFont="1" applyFill="1" applyBorder="1" applyAlignment="1" applyProtection="1">
      <alignment vertical="center" wrapText="1"/>
    </xf>
    <xf numFmtId="1" fontId="15" fillId="2" borderId="0" xfId="0" applyNumberFormat="1" applyFont="1" applyFill="1" applyAlignment="1">
      <alignment vertical="center" wrapText="1"/>
    </xf>
    <xf numFmtId="2" fontId="15" fillId="2" borderId="0" xfId="0" applyNumberFormat="1" applyFont="1" applyFill="1" applyAlignment="1">
      <alignment vertical="center" wrapText="1"/>
    </xf>
    <xf numFmtId="1" fontId="17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2" fontId="17" fillId="2" borderId="0" xfId="0" applyNumberFormat="1" applyFont="1" applyFill="1" applyAlignment="1">
      <alignment vertical="center" wrapText="1"/>
    </xf>
    <xf numFmtId="1" fontId="3" fillId="2" borderId="0" xfId="0" applyNumberFormat="1" applyFont="1" applyFill="1">
      <alignment vertical="top" wrapText="1"/>
    </xf>
    <xf numFmtId="1" fontId="15" fillId="2" borderId="0" xfId="0" applyNumberFormat="1" applyFont="1" applyFill="1">
      <alignment vertical="top" wrapText="1"/>
    </xf>
    <xf numFmtId="1" fontId="31" fillId="2" borderId="0" xfId="0" applyNumberFormat="1" applyFont="1" applyFill="1">
      <alignment vertical="top" wrapText="1"/>
    </xf>
    <xf numFmtId="1" fontId="17" fillId="2" borderId="0" xfId="0" applyNumberFormat="1" applyFont="1" applyFill="1">
      <alignment vertical="top" wrapText="1"/>
    </xf>
    <xf numFmtId="1" fontId="28" fillId="2" borderId="1" xfId="0" applyNumberFormat="1" applyFont="1" applyFill="1" applyBorder="1" applyAlignment="1">
      <alignment vertical="center" wrapText="1"/>
    </xf>
    <xf numFmtId="1" fontId="15" fillId="2" borderId="1" xfId="0" applyNumberFormat="1" applyFont="1" applyFill="1" applyBorder="1" applyAlignment="1"/>
    <xf numFmtId="1" fontId="15" fillId="2" borderId="1" xfId="0" applyNumberFormat="1" applyFont="1" applyFill="1" applyBorder="1" applyAlignment="1">
      <alignment wrapText="1"/>
    </xf>
    <xf numFmtId="2" fontId="15" fillId="2" borderId="1" xfId="0" applyNumberFormat="1" applyFont="1" applyFill="1" applyBorder="1" applyProtection="1">
      <alignment vertical="top" wrapText="1"/>
      <protection locked="0"/>
    </xf>
    <xf numFmtId="2" fontId="17" fillId="2" borderId="1" xfId="0" applyNumberFormat="1" applyFont="1" applyFill="1" applyBorder="1" applyProtection="1">
      <alignment vertical="top" wrapText="1"/>
      <protection locked="0"/>
    </xf>
    <xf numFmtId="1" fontId="15" fillId="2" borderId="1" xfId="0" applyNumberFormat="1" applyFont="1" applyFill="1" applyBorder="1" applyAlignment="1" applyProtection="1">
      <alignment horizontal="center" vertical="top" wrapText="1"/>
      <protection locked="0"/>
    </xf>
    <xf numFmtId="1" fontId="6" fillId="2" borderId="0" xfId="0" applyNumberFormat="1" applyFont="1" applyFill="1" applyAlignment="1" applyProtection="1">
      <alignment vertical="top"/>
      <protection locked="0"/>
    </xf>
    <xf numFmtId="1" fontId="17" fillId="2" borderId="1" xfId="0" applyNumberFormat="1" applyFont="1" applyFill="1" applyBorder="1" applyAlignment="1" applyProtection="1">
      <alignment horizontal="center" vertical="top" wrapText="1"/>
      <protection locked="0"/>
    </xf>
    <xf numFmtId="2" fontId="15" fillId="2" borderId="1" xfId="0" applyNumberFormat="1" applyFont="1" applyFill="1" applyBorder="1">
      <alignment vertical="top" wrapText="1"/>
    </xf>
    <xf numFmtId="0" fontId="15" fillId="2" borderId="1" xfId="0" applyFont="1" applyFill="1" applyBorder="1" applyAlignment="1">
      <alignment horizontal="center" vertical="top" wrapText="1"/>
    </xf>
    <xf numFmtId="0" fontId="15" fillId="2" borderId="1" xfId="0" applyFont="1" applyFill="1" applyBorder="1">
      <alignment vertical="top" wrapText="1"/>
    </xf>
    <xf numFmtId="2" fontId="17" fillId="2" borderId="1" xfId="0" applyNumberFormat="1" applyFont="1" applyFill="1" applyBorder="1">
      <alignment vertical="top" wrapText="1"/>
    </xf>
    <xf numFmtId="0" fontId="17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>
      <alignment vertical="top" wrapText="1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0" xfId="0" applyFont="1" applyFill="1">
      <alignment vertical="top" wrapText="1"/>
    </xf>
    <xf numFmtId="1" fontId="15" fillId="2" borderId="1" xfId="0" applyNumberFormat="1" applyFont="1" applyFill="1" applyBorder="1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Protection="1">
      <alignment vertical="top" wrapText="1"/>
      <protection locked="0"/>
    </xf>
    <xf numFmtId="1" fontId="15" fillId="3" borderId="1" xfId="23" applyNumberFormat="1" applyFont="1" applyFill="1" applyBorder="1" applyAlignment="1" applyProtection="1">
      <alignment vertical="top" wrapText="1"/>
      <protection locked="0"/>
    </xf>
    <xf numFmtId="0" fontId="17" fillId="2" borderId="1" xfId="56" applyFont="1" applyFill="1" applyBorder="1" applyAlignment="1" applyProtection="1">
      <alignment horizontal="center" vertical="top" wrapText="1"/>
      <protection locked="0"/>
    </xf>
    <xf numFmtId="1" fontId="15" fillId="3" borderId="1" xfId="0" applyNumberFormat="1" applyFont="1" applyFill="1" applyBorder="1" applyAlignment="1" applyProtection="1">
      <alignment horizontal="right" vertical="center" wrapText="1"/>
    </xf>
    <xf numFmtId="1" fontId="40" fillId="2" borderId="1" xfId="0" applyNumberFormat="1" applyFont="1" applyFill="1" applyBorder="1" applyAlignment="1">
      <alignment horizontal="center" vertical="center"/>
    </xf>
    <xf numFmtId="1" fontId="40" fillId="2" borderId="1" xfId="0" applyNumberFormat="1" applyFont="1" applyFill="1" applyBorder="1" applyAlignment="1">
      <alignment vertical="center"/>
    </xf>
    <xf numFmtId="1" fontId="40" fillId="2" borderId="1" xfId="0" applyNumberFormat="1" applyFont="1" applyFill="1" applyBorder="1" applyProtection="1">
      <alignment vertical="top" wrapText="1"/>
      <protection locked="0"/>
    </xf>
    <xf numFmtId="1" fontId="40" fillId="2" borderId="1" xfId="0" applyNumberFormat="1" applyFont="1" applyFill="1" applyBorder="1">
      <alignment vertical="top" wrapText="1"/>
    </xf>
    <xf numFmtId="1" fontId="40" fillId="2" borderId="1" xfId="0" applyNumberFormat="1" applyFont="1" applyFill="1" applyBorder="1" applyAlignment="1">
      <alignment vertical="center" wrapText="1"/>
    </xf>
    <xf numFmtId="1" fontId="40" fillId="2" borderId="1" xfId="0" applyNumberFormat="1" applyFont="1" applyFill="1" applyBorder="1" applyAlignment="1"/>
    <xf numFmtId="1" fontId="40" fillId="2" borderId="1" xfId="0" applyNumberFormat="1" applyFont="1" applyFill="1" applyBorder="1" applyAlignment="1">
      <alignment wrapText="1"/>
    </xf>
    <xf numFmtId="1" fontId="41" fillId="2" borderId="1" xfId="0" applyNumberFormat="1" applyFont="1" applyFill="1" applyBorder="1">
      <alignment vertical="top" wrapText="1"/>
    </xf>
    <xf numFmtId="0" fontId="40" fillId="2" borderId="1" xfId="0" applyFont="1" applyFill="1" applyBorder="1">
      <alignment vertical="top" wrapText="1"/>
    </xf>
    <xf numFmtId="1" fontId="41" fillId="2" borderId="1" xfId="0" applyNumberFormat="1" applyFont="1" applyFill="1" applyBorder="1" applyAlignment="1">
      <alignment horizontal="center" vertical="center"/>
    </xf>
    <xf numFmtId="1" fontId="41" fillId="2" borderId="1" xfId="0" applyNumberFormat="1" applyFont="1" applyFill="1" applyBorder="1" applyAlignment="1">
      <alignment vertical="center"/>
    </xf>
    <xf numFmtId="0" fontId="41" fillId="2" borderId="1" xfId="0" applyFont="1" applyFill="1" applyBorder="1">
      <alignment vertical="top" wrapText="1"/>
    </xf>
    <xf numFmtId="0" fontId="40" fillId="2" borderId="1" xfId="0" applyFont="1" applyFill="1" applyBorder="1" applyAlignment="1">
      <alignment horizontal="center" vertical="top" wrapText="1"/>
    </xf>
    <xf numFmtId="0" fontId="41" fillId="2" borderId="1" xfId="0" applyFont="1" applyFill="1" applyBorder="1" applyAlignment="1">
      <alignment horizontal="center" vertical="top" wrapText="1"/>
    </xf>
    <xf numFmtId="1" fontId="31" fillId="2" borderId="1" xfId="0" applyNumberFormat="1" applyFont="1" applyFill="1" applyBorder="1" applyAlignment="1">
      <alignment vertical="center"/>
    </xf>
    <xf numFmtId="2" fontId="17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6" fillId="2" borderId="0" xfId="0" applyFont="1" applyFill="1" applyAlignment="1" applyProtection="1">
      <alignment horizontal="center" vertical="center" wrapText="1"/>
      <protection locked="0"/>
    </xf>
    <xf numFmtId="165" fontId="15" fillId="2" borderId="0" xfId="0" applyNumberFormat="1" applyFont="1" applyFill="1" applyAlignment="1">
      <alignment vertical="center"/>
    </xf>
    <xf numFmtId="1" fontId="17" fillId="2" borderId="1" xfId="56" applyNumberFormat="1" applyFont="1" applyFill="1" applyBorder="1" applyAlignment="1" applyProtection="1">
      <alignment horizontal="center" vertical="center" wrapText="1"/>
      <protection locked="0"/>
    </xf>
    <xf numFmtId="1" fontId="17" fillId="2" borderId="1" xfId="0" applyNumberFormat="1" applyFont="1" applyFill="1" applyBorder="1" applyAlignment="1">
      <alignment horizontal="center" vertical="center"/>
    </xf>
    <xf numFmtId="1" fontId="28" fillId="0" borderId="0" xfId="0" applyNumberFormat="1" applyFont="1" applyAlignment="1">
      <alignment vertical="center"/>
    </xf>
    <xf numFmtId="1" fontId="15" fillId="2" borderId="1" xfId="0" applyNumberFormat="1" applyFont="1" applyFill="1" applyBorder="1" applyAlignment="1">
      <alignment horizontal="right" vertical="center"/>
    </xf>
    <xf numFmtId="1" fontId="15" fillId="3" borderId="1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" fontId="29" fillId="2" borderId="1" xfId="0" applyNumberFormat="1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0" xfId="0" applyNumberFormat="1" applyFont="1" applyFill="1" applyBorder="1" applyAlignment="1" applyProtection="1">
      <alignment horizontal="center" vertical="top" wrapText="1"/>
      <protection locked="0"/>
    </xf>
    <xf numFmtId="1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0" xfId="0" applyFont="1" applyFill="1" applyBorder="1" applyAlignment="1"/>
    <xf numFmtId="2" fontId="38" fillId="2" borderId="0" xfId="0" applyNumberFormat="1" applyFont="1" applyFill="1" applyBorder="1" applyAlignment="1"/>
    <xf numFmtId="1" fontId="38" fillId="2" borderId="0" xfId="0" applyNumberFormat="1" applyFont="1" applyFill="1" applyBorder="1" applyAlignment="1"/>
    <xf numFmtId="0" fontId="11" fillId="2" borderId="0" xfId="0" applyFont="1" applyFill="1">
      <alignment vertical="top" wrapText="1"/>
    </xf>
    <xf numFmtId="2" fontId="11" fillId="2" borderId="0" xfId="0" applyNumberFormat="1" applyFont="1" applyFill="1">
      <alignment vertical="top" wrapText="1"/>
    </xf>
    <xf numFmtId="0" fontId="6" fillId="2" borderId="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1" fontId="3" fillId="2" borderId="31" xfId="0" applyNumberFormat="1" applyFont="1" applyFill="1" applyBorder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top" wrapText="1"/>
      <protection locked="0"/>
    </xf>
    <xf numFmtId="1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 wrapText="1"/>
    </xf>
    <xf numFmtId="1" fontId="17" fillId="2" borderId="0" xfId="0" applyNumberFormat="1" applyFont="1" applyFill="1" applyBorder="1" applyAlignment="1">
      <alignment horizontal="center" vertical="center" wrapText="1"/>
    </xf>
    <xf numFmtId="1" fontId="15" fillId="2" borderId="11" xfId="0" applyNumberFormat="1" applyFont="1" applyFill="1" applyBorder="1" applyAlignment="1"/>
    <xf numFmtId="1" fontId="17" fillId="2" borderId="1" xfId="0" applyNumberFormat="1" applyFont="1" applyFill="1" applyBorder="1" applyAlignment="1" applyProtection="1">
      <alignment horizontal="right" vertical="center" wrapText="1"/>
    </xf>
    <xf numFmtId="165" fontId="7" fillId="2" borderId="0" xfId="0" applyNumberFormat="1" applyFont="1" applyFill="1" applyProtection="1">
      <alignment vertical="top" wrapText="1"/>
      <protection locked="0"/>
    </xf>
    <xf numFmtId="1" fontId="7" fillId="2" borderId="1" xfId="0" applyNumberFormat="1" applyFont="1" applyFill="1" applyBorder="1" applyProtection="1">
      <alignment vertical="top" wrapText="1"/>
      <protection locked="0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1" fontId="17" fillId="7" borderId="0" xfId="0" applyNumberFormat="1" applyFont="1" applyFill="1" applyAlignment="1">
      <alignment vertical="center"/>
    </xf>
    <xf numFmtId="2" fontId="17" fillId="7" borderId="1" xfId="0" applyNumberFormat="1" applyFont="1" applyFill="1" applyBorder="1" applyAlignment="1">
      <alignment vertical="center"/>
    </xf>
    <xf numFmtId="1" fontId="17" fillId="2" borderId="19" xfId="0" applyNumberFormat="1" applyFont="1" applyFill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Protection="1">
      <alignment vertical="top" wrapText="1"/>
      <protection locked="0"/>
    </xf>
    <xf numFmtId="0" fontId="34" fillId="0" borderId="0" xfId="0" applyFont="1" applyAlignment="1">
      <alignment vertical="center"/>
    </xf>
    <xf numFmtId="0" fontId="34" fillId="0" borderId="36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37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4" fillId="0" borderId="19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12" xfId="0" applyFont="1" applyBorder="1" applyAlignment="1">
      <alignment vertical="center"/>
    </xf>
    <xf numFmtId="0" fontId="34" fillId="0" borderId="2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NumberFormat="1" applyFont="1" applyBorder="1" applyAlignment="1">
      <alignment horizontal="left" vertical="center"/>
    </xf>
    <xf numFmtId="0" fontId="34" fillId="2" borderId="1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7" fillId="2" borderId="0" xfId="59" applyFont="1" applyFill="1" applyAlignment="1">
      <alignment vertical="center" wrapText="1"/>
    </xf>
    <xf numFmtId="0" fontId="7" fillId="2" borderId="1" xfId="59" applyFont="1" applyFill="1" applyBorder="1" applyAlignment="1">
      <alignment horizontal="center" vertical="center" wrapText="1"/>
    </xf>
    <xf numFmtId="0" fontId="7" fillId="2" borderId="1" xfId="59" applyFont="1" applyFill="1" applyBorder="1" applyAlignment="1">
      <alignment horizontal="left" vertical="center" wrapText="1"/>
    </xf>
    <xf numFmtId="2" fontId="7" fillId="2" borderId="1" xfId="59" applyNumberFormat="1" applyFont="1" applyFill="1" applyBorder="1" applyAlignment="1">
      <alignment horizontal="center" vertical="center" wrapText="1"/>
    </xf>
    <xf numFmtId="0" fontId="7" fillId="2" borderId="1" xfId="59" applyFont="1" applyFill="1" applyBorder="1" applyAlignment="1">
      <alignment vertical="center" wrapText="1"/>
    </xf>
    <xf numFmtId="1" fontId="7" fillId="2" borderId="1" xfId="59" applyNumberFormat="1" applyFont="1" applyFill="1" applyBorder="1" applyAlignment="1">
      <alignment horizontal="center" vertical="center" wrapText="1"/>
    </xf>
    <xf numFmtId="0" fontId="6" fillId="2" borderId="1" xfId="59" applyFont="1" applyFill="1" applyBorder="1" applyAlignment="1">
      <alignment horizontal="center" vertical="center" wrapText="1"/>
    </xf>
    <xf numFmtId="2" fontId="6" fillId="2" borderId="1" xfId="59" applyNumberFormat="1" applyFont="1" applyFill="1" applyBorder="1" applyAlignment="1">
      <alignment horizontal="center" vertical="center" wrapText="1"/>
    </xf>
    <xf numFmtId="2" fontId="7" fillId="2" borderId="0" xfId="59" applyNumberFormat="1" applyFont="1" applyFill="1" applyAlignment="1">
      <alignment vertical="center" wrapText="1"/>
    </xf>
    <xf numFmtId="0" fontId="7" fillId="2" borderId="12" xfId="59" applyFont="1" applyFill="1" applyBorder="1" applyAlignment="1">
      <alignment horizontal="center" vertical="center" wrapText="1"/>
    </xf>
    <xf numFmtId="0" fontId="6" fillId="2" borderId="12" xfId="59" applyFont="1" applyFill="1" applyBorder="1" applyAlignment="1">
      <alignment horizontal="center" vertical="center" wrapText="1"/>
    </xf>
    <xf numFmtId="0" fontId="44" fillId="0" borderId="0" xfId="0" applyFont="1">
      <alignment vertical="top" wrapText="1"/>
    </xf>
    <xf numFmtId="0" fontId="6" fillId="2" borderId="0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45" fillId="2" borderId="1" xfId="0" applyFont="1" applyFill="1" applyBorder="1" applyAlignment="1"/>
    <xf numFmtId="0" fontId="17" fillId="2" borderId="1" xfId="0" applyFont="1" applyFill="1" applyBorder="1" applyAlignment="1">
      <alignment wrapText="1"/>
    </xf>
    <xf numFmtId="0" fontId="15" fillId="2" borderId="1" xfId="0" applyFont="1" applyFill="1" applyBorder="1" applyAlignment="1">
      <alignment horizontal="center"/>
    </xf>
    <xf numFmtId="2" fontId="15" fillId="2" borderId="1" xfId="0" applyNumberFormat="1" applyFont="1" applyFill="1" applyBorder="1" applyAlignment="1"/>
    <xf numFmtId="0" fontId="17" fillId="2" borderId="1" xfId="0" applyFont="1" applyFill="1" applyBorder="1" applyAlignment="1"/>
    <xf numFmtId="0" fontId="51" fillId="0" borderId="0" xfId="0" applyFont="1" applyAlignment="1">
      <alignment vertical="center"/>
    </xf>
    <xf numFmtId="0" fontId="17" fillId="2" borderId="41" xfId="0" applyNumberFormat="1" applyFont="1" applyFill="1" applyBorder="1" applyAlignment="1">
      <alignment horizontal="center" vertical="top" wrapText="1"/>
    </xf>
    <xf numFmtId="0" fontId="52" fillId="8" borderId="42" xfId="0" applyNumberFormat="1" applyFont="1" applyFill="1" applyBorder="1" applyAlignment="1">
      <alignment horizontal="center" vertical="top" wrapText="1" readingOrder="1"/>
    </xf>
    <xf numFmtId="0" fontId="53" fillId="8" borderId="42" xfId="0" applyNumberFormat="1" applyFont="1" applyFill="1" applyBorder="1" applyAlignment="1">
      <alignment horizontal="center" vertical="top" wrapText="1" readingOrder="1"/>
    </xf>
    <xf numFmtId="0" fontId="15" fillId="2" borderId="41" xfId="0" applyNumberFormat="1" applyFont="1" applyFill="1" applyBorder="1" applyAlignment="1">
      <alignment horizontal="center" vertical="top" wrapText="1"/>
    </xf>
    <xf numFmtId="0" fontId="52" fillId="2" borderId="42" xfId="0" applyNumberFormat="1" applyFont="1" applyFill="1" applyBorder="1" applyAlignment="1">
      <alignment vertical="top" wrapText="1" readingOrder="1"/>
    </xf>
    <xf numFmtId="0" fontId="54" fillId="2" borderId="42" xfId="0" applyNumberFormat="1" applyFont="1" applyFill="1" applyBorder="1" applyAlignment="1">
      <alignment vertical="top" wrapText="1" readingOrder="1"/>
    </xf>
    <xf numFmtId="0" fontId="17" fillId="9" borderId="42" xfId="0" applyNumberFormat="1" applyFont="1" applyFill="1" applyBorder="1" applyAlignment="1">
      <alignment vertical="top" wrapText="1" readingOrder="1"/>
    </xf>
    <xf numFmtId="166" fontId="17" fillId="9" borderId="42" xfId="0" applyNumberFormat="1" applyFont="1" applyFill="1" applyBorder="1" applyAlignment="1">
      <alignment vertical="top" wrapText="1" readingOrder="1"/>
    </xf>
    <xf numFmtId="0" fontId="52" fillId="10" borderId="42" xfId="0" applyNumberFormat="1" applyFont="1" applyFill="1" applyBorder="1" applyAlignment="1">
      <alignment vertical="top" wrapText="1" readingOrder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1" fontId="2" fillId="2" borderId="0" xfId="0" applyNumberFormat="1" applyFont="1" applyFill="1" applyAlignment="1">
      <alignment vertical="center"/>
    </xf>
    <xf numFmtId="1" fontId="2" fillId="2" borderId="0" xfId="0" applyNumberFormat="1" applyFont="1" applyFill="1" applyAlignment="1">
      <alignment vertical="top"/>
    </xf>
    <xf numFmtId="0" fontId="15" fillId="2" borderId="0" xfId="0" applyFont="1" applyFill="1" applyAlignment="1" applyProtection="1">
      <alignment vertical="top"/>
      <protection locked="0"/>
    </xf>
    <xf numFmtId="0" fontId="7" fillId="2" borderId="0" xfId="0" applyFont="1" applyFill="1" applyAlignment="1" applyProtection="1">
      <alignment vertical="top"/>
      <protection locked="0"/>
    </xf>
    <xf numFmtId="1" fontId="33" fillId="2" borderId="0" xfId="0" applyNumberFormat="1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33" fillId="2" borderId="0" xfId="0" applyFont="1" applyFill="1" applyAlignment="1">
      <alignment vertical="top"/>
    </xf>
    <xf numFmtId="0" fontId="7" fillId="2" borderId="0" xfId="59" applyFont="1" applyFill="1" applyAlignment="1">
      <alignment vertical="center"/>
    </xf>
    <xf numFmtId="0" fontId="28" fillId="2" borderId="1" xfId="0" applyFont="1" applyFill="1" applyBorder="1" applyAlignment="1">
      <alignment horizontal="right" vertical="center"/>
    </xf>
    <xf numFmtId="2" fontId="28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 applyAlignment="1">
      <alignment horizontal="right" vertical="center"/>
    </xf>
    <xf numFmtId="0" fontId="0" fillId="2" borderId="0" xfId="0" applyFill="1" applyBorder="1" applyAlignment="1"/>
    <xf numFmtId="0" fontId="26" fillId="2" borderId="0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vertical="center"/>
    </xf>
    <xf numFmtId="0" fontId="47" fillId="2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vertical="center" wrapText="1"/>
    </xf>
    <xf numFmtId="0" fontId="50" fillId="2" borderId="1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43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 readingOrder="1"/>
    </xf>
    <xf numFmtId="0" fontId="42" fillId="11" borderId="1" xfId="0" applyFont="1" applyFill="1" applyBorder="1" applyAlignment="1" applyProtection="1">
      <alignment horizontal="center" vertical="center" wrapText="1" readingOrder="1"/>
      <protection locked="0"/>
    </xf>
    <xf numFmtId="0" fontId="42" fillId="11" borderId="1" xfId="0" applyFont="1" applyFill="1" applyBorder="1" applyAlignment="1" applyProtection="1">
      <alignment horizontal="right" vertical="center" wrapText="1" readingOrder="1"/>
      <protection locked="0"/>
    </xf>
    <xf numFmtId="0" fontId="42" fillId="11" borderId="1" xfId="0" applyFont="1" applyFill="1" applyBorder="1" applyAlignment="1" applyProtection="1">
      <alignment horizontal="left" vertical="center" wrapText="1" readingOrder="1"/>
      <protection locked="0"/>
    </xf>
    <xf numFmtId="0" fontId="58" fillId="2" borderId="1" xfId="0" applyFont="1" applyFill="1" applyBorder="1" applyAlignment="1" applyProtection="1">
      <alignment horizontal="center" vertical="center" wrapText="1" readingOrder="1"/>
      <protection locked="0"/>
    </xf>
    <xf numFmtId="0" fontId="58" fillId="2" borderId="1" xfId="0" applyFont="1" applyFill="1" applyBorder="1" applyAlignment="1" applyProtection="1">
      <alignment vertical="center" wrapText="1" readingOrder="1"/>
      <protection locked="0"/>
    </xf>
    <xf numFmtId="0" fontId="59" fillId="2" borderId="1" xfId="0" applyFont="1" applyFill="1" applyBorder="1" applyAlignment="1" applyProtection="1">
      <alignment horizontal="center" vertical="center" wrapText="1" readingOrder="1"/>
      <protection locked="0"/>
    </xf>
    <xf numFmtId="0" fontId="60" fillId="2" borderId="1" xfId="0" applyFont="1" applyFill="1" applyBorder="1" applyAlignment="1" applyProtection="1">
      <alignment horizontal="left" vertical="center" wrapText="1" readingOrder="1"/>
      <protection locked="0"/>
    </xf>
    <xf numFmtId="0" fontId="59" fillId="2" borderId="1" xfId="0" applyFont="1" applyFill="1" applyBorder="1" applyAlignment="1" applyProtection="1">
      <alignment vertical="center" wrapText="1" readingOrder="1"/>
      <protection locked="0"/>
    </xf>
    <xf numFmtId="1" fontId="61" fillId="2" borderId="0" xfId="0" applyNumberFormat="1" applyFont="1" applyFill="1">
      <alignment vertical="top" wrapText="1"/>
    </xf>
    <xf numFmtId="0" fontId="62" fillId="2" borderId="0" xfId="0" applyFont="1" applyFill="1">
      <alignment vertical="top" wrapText="1"/>
    </xf>
    <xf numFmtId="1" fontId="62" fillId="2" borderId="0" xfId="0" applyNumberFormat="1" applyFont="1" applyFill="1">
      <alignment vertical="top" wrapText="1"/>
    </xf>
    <xf numFmtId="0" fontId="11" fillId="2" borderId="0" xfId="0" applyFont="1" applyFill="1" applyAlignment="1" applyProtection="1">
      <alignment horizontal="center" vertical="top" wrapText="1"/>
      <protection locked="0"/>
    </xf>
    <xf numFmtId="0" fontId="17" fillId="2" borderId="9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2" fontId="3" fillId="2" borderId="13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vertical="center" wrapText="1"/>
      <protection locked="0"/>
    </xf>
    <xf numFmtId="1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13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9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 wrapText="1"/>
      <protection locked="0"/>
    </xf>
    <xf numFmtId="1" fontId="6" fillId="2" borderId="0" xfId="0" applyNumberFormat="1" applyFont="1" applyFill="1" applyAlignment="1" applyProtection="1">
      <alignment horizontal="center" vertical="top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0" fontId="17" fillId="2" borderId="1" xfId="56" applyFont="1" applyFill="1" applyBorder="1" applyAlignment="1" applyProtection="1">
      <alignment horizontal="center" vertical="center" wrapText="1"/>
      <protection locked="0"/>
    </xf>
    <xf numFmtId="1" fontId="17" fillId="2" borderId="1" xfId="56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6" fontId="17" fillId="2" borderId="12" xfId="0" applyNumberFormat="1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 wrapText="1"/>
    </xf>
    <xf numFmtId="1" fontId="17" fillId="2" borderId="11" xfId="0" applyNumberFormat="1" applyFont="1" applyFill="1" applyBorder="1" applyAlignment="1">
      <alignment horizontal="center" vertical="center" wrapText="1"/>
    </xf>
    <xf numFmtId="1" fontId="17" fillId="2" borderId="19" xfId="0" applyNumberFormat="1" applyFont="1" applyFill="1" applyBorder="1" applyAlignment="1">
      <alignment horizontal="center" vertical="center" wrapText="1"/>
    </xf>
    <xf numFmtId="1" fontId="17" fillId="2" borderId="18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1" fontId="17" fillId="2" borderId="24" xfId="0" applyNumberFormat="1" applyFont="1" applyFill="1" applyBorder="1" applyAlignment="1">
      <alignment horizontal="center" vertical="center" wrapText="1"/>
    </xf>
    <xf numFmtId="1" fontId="17" fillId="2" borderId="22" xfId="0" applyNumberFormat="1" applyFont="1" applyFill="1" applyBorder="1" applyAlignment="1">
      <alignment horizontal="center" vertical="center" wrapText="1"/>
    </xf>
    <xf numFmtId="1" fontId="17" fillId="2" borderId="20" xfId="0" applyNumberFormat="1" applyFont="1" applyFill="1" applyBorder="1" applyAlignment="1">
      <alignment horizontal="center" vertical="center" wrapText="1"/>
    </xf>
    <xf numFmtId="1" fontId="17" fillId="2" borderId="12" xfId="0" applyNumberFormat="1" applyFont="1" applyFill="1" applyBorder="1" applyAlignment="1">
      <alignment horizontal="center" vertical="center" wrapText="1"/>
    </xf>
    <xf numFmtId="1" fontId="17" fillId="2" borderId="23" xfId="0" applyNumberFormat="1" applyFont="1" applyFill="1" applyBorder="1" applyAlignment="1">
      <alignment horizontal="center" vertical="center" wrapText="1"/>
    </xf>
    <xf numFmtId="1" fontId="17" fillId="2" borderId="21" xfId="0" applyNumberFormat="1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1" fontId="29" fillId="2" borderId="1" xfId="0" applyNumberFormat="1" applyFont="1" applyFill="1" applyBorder="1" applyAlignment="1">
      <alignment horizontal="center" vertical="center" wrapText="1"/>
    </xf>
    <xf numFmtId="2" fontId="29" fillId="2" borderId="16" xfId="0" applyNumberFormat="1" applyFont="1" applyFill="1" applyBorder="1" applyAlignment="1">
      <alignment horizontal="center" vertical="center" wrapText="1"/>
    </xf>
    <xf numFmtId="2" fontId="29" fillId="2" borderId="25" xfId="0" applyNumberFormat="1" applyFont="1" applyFill="1" applyBorder="1" applyAlignment="1">
      <alignment horizontal="center" vertical="center" wrapText="1"/>
    </xf>
    <xf numFmtId="2" fontId="29" fillId="2" borderId="17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1" fontId="29" fillId="2" borderId="1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 wrapText="1"/>
    </xf>
    <xf numFmtId="1" fontId="29" fillId="2" borderId="12" xfId="0" applyNumberFormat="1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1" fontId="17" fillId="2" borderId="16" xfId="0" applyNumberFormat="1" applyFont="1" applyFill="1" applyBorder="1" applyAlignment="1">
      <alignment horizontal="center" vertical="center"/>
    </xf>
    <xf numFmtId="1" fontId="17" fillId="2" borderId="17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0" xfId="0" applyNumberFormat="1" applyFont="1" applyFill="1" applyAlignment="1" applyProtection="1">
      <alignment horizontal="center" vertical="center" wrapText="1"/>
      <protection locked="0"/>
    </xf>
    <xf numFmtId="1" fontId="6" fillId="2" borderId="15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26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16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17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0" xfId="0" applyNumberFormat="1" applyFont="1" applyFill="1" applyAlignment="1" applyProtection="1">
      <alignment horizontal="center" vertical="center"/>
      <protection locked="0"/>
    </xf>
    <xf numFmtId="1" fontId="6" fillId="2" borderId="9" xfId="0" applyNumberFormat="1" applyFont="1" applyFill="1" applyBorder="1" applyAlignment="1" applyProtection="1">
      <alignment horizontal="center" vertical="top" wrapText="1"/>
      <protection locked="0"/>
    </xf>
    <xf numFmtId="1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27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28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9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1" xfId="0" applyNumberFormat="1" applyFont="1" applyFill="1" applyBorder="1" applyAlignment="1" applyProtection="1">
      <alignment vertical="center" wrapText="1"/>
      <protection locked="0"/>
    </xf>
    <xf numFmtId="1" fontId="17" fillId="2" borderId="16" xfId="0" applyNumberFormat="1" applyFont="1" applyFill="1" applyBorder="1" applyAlignment="1" applyProtection="1">
      <alignment vertical="center" wrapText="1"/>
      <protection locked="0"/>
    </xf>
    <xf numFmtId="1" fontId="17" fillId="2" borderId="14" xfId="0" applyNumberFormat="1" applyFont="1" applyFill="1" applyBorder="1" applyAlignment="1" applyProtection="1">
      <alignment vertical="center" wrapText="1"/>
      <protection locked="0"/>
    </xf>
    <xf numFmtId="1" fontId="17" fillId="2" borderId="29" xfId="0" applyNumberFormat="1" applyFont="1" applyFill="1" applyBorder="1" applyAlignment="1" applyProtection="1">
      <alignment vertical="center" wrapText="1"/>
      <protection locked="0"/>
    </xf>
    <xf numFmtId="2" fontId="17" fillId="2" borderId="1" xfId="0" applyNumberFormat="1" applyFont="1" applyFill="1" applyBorder="1" applyAlignment="1">
      <alignment vertical="center" wrapText="1"/>
    </xf>
    <xf numFmtId="1" fontId="17" fillId="2" borderId="13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9" xfId="0" applyNumberFormat="1" applyFont="1" applyFill="1" applyBorder="1" applyAlignment="1" applyProtection="1">
      <alignment horizontal="right" vertical="center" wrapText="1"/>
      <protection locked="0"/>
    </xf>
    <xf numFmtId="1" fontId="3" fillId="2" borderId="0" xfId="0" applyNumberFormat="1" applyFont="1" applyFill="1" applyAlignment="1" applyProtection="1">
      <alignment horizontal="center" vertical="center"/>
      <protection locked="0"/>
    </xf>
    <xf numFmtId="1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0" xfId="0" applyNumberFormat="1" applyFont="1" applyFill="1" applyAlignment="1" applyProtection="1">
      <alignment horizontal="center" vertical="center" wrapText="1"/>
      <protection locked="0"/>
    </xf>
    <xf numFmtId="2" fontId="6" fillId="2" borderId="0" xfId="0" applyNumberFormat="1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27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 wrapText="1"/>
    </xf>
    <xf numFmtId="2" fontId="3" fillId="2" borderId="16" xfId="0" applyNumberFormat="1" applyFont="1" applyFill="1" applyBorder="1" applyAlignment="1">
      <alignment horizontal="center" vertical="center" wrapText="1"/>
    </xf>
    <xf numFmtId="2" fontId="3" fillId="2" borderId="25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27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0" xfId="0" applyNumberFormat="1" applyFont="1" applyFill="1" applyAlignment="1" applyProtection="1">
      <alignment horizontal="center" vertical="center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1" fontId="17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17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Alignment="1">
      <alignment horizontal="center" vertical="top" wrapText="1"/>
    </xf>
    <xf numFmtId="0" fontId="2" fillId="2" borderId="30" xfId="0" applyFont="1" applyFill="1" applyBorder="1" applyAlignment="1">
      <alignment horizontal="center" vertical="top" wrapText="1"/>
    </xf>
    <xf numFmtId="1" fontId="3" fillId="2" borderId="30" xfId="0" applyNumberFormat="1" applyFont="1" applyFill="1" applyBorder="1" applyAlignment="1">
      <alignment horizontal="center" vertical="top" wrapText="1"/>
    </xf>
    <xf numFmtId="1" fontId="3" fillId="2" borderId="32" xfId="0" applyNumberFormat="1" applyFont="1" applyFill="1" applyBorder="1" applyAlignment="1">
      <alignment horizontal="center" vertical="center" wrapText="1"/>
    </xf>
    <xf numFmtId="1" fontId="3" fillId="2" borderId="33" xfId="0" applyNumberFormat="1" applyFont="1" applyFill="1" applyBorder="1" applyAlignment="1">
      <alignment horizontal="center" vertical="center" wrapText="1"/>
    </xf>
    <xf numFmtId="1" fontId="3" fillId="2" borderId="3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top" wrapText="1"/>
    </xf>
    <xf numFmtId="1" fontId="4" fillId="2" borderId="32" xfId="0" applyNumberFormat="1" applyFont="1" applyFill="1" applyBorder="1" applyAlignment="1">
      <alignment horizontal="center" vertical="center" wrapText="1"/>
    </xf>
    <xf numFmtId="1" fontId="4" fillId="2" borderId="33" xfId="0" applyNumberFormat="1" applyFont="1" applyFill="1" applyBorder="1" applyAlignment="1">
      <alignment horizontal="center" vertical="center" wrapText="1"/>
    </xf>
    <xf numFmtId="1" fontId="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 applyProtection="1">
      <alignment horizontal="center" vertical="center" wrapText="1"/>
      <protection locked="0"/>
    </xf>
    <xf numFmtId="0" fontId="17" fillId="2" borderId="27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  <protection locked="0"/>
    </xf>
    <xf numFmtId="0" fontId="17" fillId="2" borderId="28" xfId="0" applyFont="1" applyFill="1" applyBorder="1" applyAlignment="1" applyProtection="1">
      <alignment horizontal="center" vertical="center" wrapText="1"/>
      <protection locked="0"/>
    </xf>
    <xf numFmtId="1" fontId="17" fillId="2" borderId="11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1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" xfId="0" applyFont="1" applyFill="1" applyBorder="1" applyAlignment="1">
      <alignment horizontal="center" vertical="center" wrapText="1"/>
    </xf>
    <xf numFmtId="2" fontId="6" fillId="2" borderId="0" xfId="0" applyNumberFormat="1" applyFont="1" applyFill="1" applyBorder="1" applyAlignment="1" applyProtection="1">
      <alignment horizontal="center" vertical="top" wrapText="1"/>
      <protection locked="0"/>
    </xf>
    <xf numFmtId="1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27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28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15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26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9" xfId="0" applyNumberFormat="1" applyFont="1" applyFill="1" applyBorder="1" applyAlignment="1" applyProtection="1">
      <alignment horizontal="left" vertical="top" wrapText="1"/>
      <protection locked="0"/>
    </xf>
    <xf numFmtId="1" fontId="17" fillId="2" borderId="15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26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27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42" fillId="11" borderId="1" xfId="0" applyFont="1" applyFill="1" applyBorder="1" applyAlignment="1" applyProtection="1">
      <alignment horizontal="right" vertical="center" wrapText="1" readingOrder="1"/>
      <protection locked="0"/>
    </xf>
    <xf numFmtId="0" fontId="43" fillId="2" borderId="1" xfId="0" applyFont="1" applyFill="1" applyBorder="1" applyAlignment="1" applyProtection="1">
      <alignment vertical="center" wrapText="1"/>
      <protection locked="0"/>
    </xf>
    <xf numFmtId="0" fontId="55" fillId="2" borderId="0" xfId="0" applyFont="1" applyFill="1" applyAlignment="1" applyProtection="1">
      <alignment horizontal="center" vertical="center" wrapText="1" readingOrder="1"/>
      <protection locked="0"/>
    </xf>
    <xf numFmtId="0" fontId="56" fillId="2" borderId="0" xfId="0" applyFont="1" applyFill="1" applyAlignment="1">
      <alignment vertical="center"/>
    </xf>
    <xf numFmtId="0" fontId="57" fillId="2" borderId="0" xfId="0" applyFont="1" applyFill="1" applyAlignment="1" applyProtection="1">
      <alignment horizontal="center" vertical="center" wrapText="1" readingOrder="1"/>
      <protection locked="0"/>
    </xf>
    <xf numFmtId="0" fontId="43" fillId="2" borderId="0" xfId="0" applyFont="1" applyFill="1" applyAlignment="1">
      <alignment vertical="center"/>
    </xf>
    <xf numFmtId="0" fontId="42" fillId="11" borderId="1" xfId="0" applyFont="1" applyFill="1" applyBorder="1" applyAlignment="1" applyProtection="1">
      <alignment horizontal="center" vertical="center" wrapText="1" readingOrder="1"/>
      <protection locked="0"/>
    </xf>
    <xf numFmtId="0" fontId="44" fillId="0" borderId="0" xfId="0" applyFont="1" applyAlignment="1">
      <alignment horizontal="center" vertical="top" wrapText="1"/>
    </xf>
    <xf numFmtId="0" fontId="6" fillId="2" borderId="0" xfId="59" applyFont="1" applyFill="1" applyAlignment="1">
      <alignment horizontal="center" vertical="center" wrapText="1"/>
    </xf>
    <xf numFmtId="0" fontId="7" fillId="2" borderId="12" xfId="59" applyFont="1" applyFill="1" applyBorder="1" applyAlignment="1">
      <alignment horizontal="center" vertical="center" wrapText="1"/>
    </xf>
    <xf numFmtId="0" fontId="6" fillId="2" borderId="1" xfId="59" applyFont="1" applyFill="1" applyBorder="1" applyAlignment="1">
      <alignment horizontal="center" vertical="center" wrapText="1"/>
    </xf>
    <xf numFmtId="2" fontId="6" fillId="2" borderId="1" xfId="5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9" fillId="2" borderId="16" xfId="0" applyFont="1" applyFill="1" applyBorder="1" applyAlignment="1">
      <alignment horizontal="left" vertical="center"/>
    </xf>
    <xf numFmtId="0" fontId="29" fillId="2" borderId="25" xfId="0" applyFont="1" applyFill="1" applyBorder="1" applyAlignment="1">
      <alignment horizontal="left" vertical="center"/>
    </xf>
    <xf numFmtId="0" fontId="29" fillId="2" borderId="17" xfId="0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65" fillId="2" borderId="30" xfId="0" applyFont="1" applyFill="1" applyBorder="1" applyAlignment="1">
      <alignment horizontal="center" vertical="center"/>
    </xf>
    <xf numFmtId="0" fontId="43" fillId="2" borderId="0" xfId="0" applyFont="1" applyFill="1" applyAlignment="1"/>
    <xf numFmtId="0" fontId="66" fillId="2" borderId="31" xfId="0" applyFont="1" applyFill="1" applyBorder="1" applyAlignment="1">
      <alignment horizontal="center" vertical="center"/>
    </xf>
    <xf numFmtId="0" fontId="66" fillId="2" borderId="44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4" fillId="2" borderId="39" xfId="0" applyFont="1" applyFill="1" applyBorder="1" applyAlignment="1">
      <alignment horizontal="center" vertical="center" wrapText="1"/>
    </xf>
    <xf numFmtId="0" fontId="64" fillId="2" borderId="17" xfId="0" applyFont="1" applyFill="1" applyBorder="1" applyAlignment="1">
      <alignment horizontal="center" vertical="center" wrapText="1"/>
    </xf>
    <xf numFmtId="0" fontId="64" fillId="2" borderId="20" xfId="0" applyFont="1" applyFill="1" applyBorder="1" applyAlignment="1">
      <alignment horizontal="center" vertical="center" wrapText="1"/>
    </xf>
    <xf numFmtId="0" fontId="64" fillId="2" borderId="21" xfId="0" applyFont="1" applyFill="1" applyBorder="1" applyAlignment="1">
      <alignment horizontal="center" vertical="center" wrapText="1"/>
    </xf>
    <xf numFmtId="0" fontId="64" fillId="2" borderId="17" xfId="0" applyFont="1" applyFill="1" applyBorder="1" applyAlignment="1">
      <alignment horizontal="center" vertical="center" wrapText="1"/>
    </xf>
    <xf numFmtId="0" fontId="64" fillId="2" borderId="40" xfId="0" applyFont="1" applyFill="1" applyBorder="1" applyAlignment="1">
      <alignment horizontal="center" vertical="center" wrapText="1"/>
    </xf>
    <xf numFmtId="0" fontId="64" fillId="2" borderId="45" xfId="0" applyFont="1" applyFill="1" applyBorder="1" applyAlignment="1">
      <alignment horizontal="center" vertical="top" wrapText="1"/>
    </xf>
    <xf numFmtId="0" fontId="64" fillId="2" borderId="1" xfId="0" applyFont="1" applyFill="1" applyBorder="1" applyAlignment="1">
      <alignment horizontal="center" vertical="top" wrapText="1"/>
    </xf>
    <xf numFmtId="0" fontId="64" fillId="2" borderId="46" xfId="0" applyFont="1" applyFill="1" applyBorder="1" applyAlignment="1">
      <alignment horizontal="center" vertical="top" wrapText="1"/>
    </xf>
    <xf numFmtId="0" fontId="64" fillId="2" borderId="38" xfId="0" applyFont="1" applyFill="1" applyBorder="1" applyAlignment="1">
      <alignment horizontal="center" vertical="top" wrapText="1"/>
    </xf>
    <xf numFmtId="0" fontId="64" fillId="2" borderId="16" xfId="0" applyFont="1" applyFill="1" applyBorder="1" applyAlignment="1">
      <alignment horizontal="center" vertical="top" wrapText="1"/>
    </xf>
    <xf numFmtId="0" fontId="43" fillId="2" borderId="47" xfId="0" applyFont="1" applyFill="1" applyBorder="1" applyAlignment="1">
      <alignment horizontal="center"/>
    </xf>
    <xf numFmtId="0" fontId="51" fillId="2" borderId="48" xfId="0" applyNumberFormat="1" applyFont="1" applyFill="1" applyBorder="1" applyAlignment="1"/>
    <xf numFmtId="1" fontId="43" fillId="2" borderId="48" xfId="0" applyNumberFormat="1" applyFont="1" applyFill="1" applyBorder="1" applyAlignment="1"/>
    <xf numFmtId="2" fontId="43" fillId="2" borderId="48" xfId="0" applyNumberFormat="1" applyFont="1" applyFill="1" applyBorder="1" applyAlignment="1"/>
    <xf numFmtId="0" fontId="43" fillId="2" borderId="48" xfId="0" applyFont="1" applyFill="1" applyBorder="1" applyAlignment="1"/>
    <xf numFmtId="2" fontId="43" fillId="2" borderId="49" xfId="0" applyNumberFormat="1" applyFont="1" applyFill="1" applyBorder="1" applyAlignment="1"/>
    <xf numFmtId="0" fontId="43" fillId="2" borderId="45" xfId="0" applyFont="1" applyFill="1" applyBorder="1" applyAlignment="1">
      <alignment horizontal="center"/>
    </xf>
    <xf numFmtId="0" fontId="51" fillId="2" borderId="1" xfId="0" applyFont="1" applyFill="1" applyBorder="1" applyAlignment="1"/>
    <xf numFmtId="1" fontId="43" fillId="2" borderId="1" xfId="0" applyNumberFormat="1" applyFont="1" applyFill="1" applyBorder="1" applyAlignment="1"/>
    <xf numFmtId="2" fontId="43" fillId="2" borderId="1" xfId="0" applyNumberFormat="1" applyFont="1" applyFill="1" applyBorder="1" applyAlignment="1"/>
    <xf numFmtId="0" fontId="43" fillId="2" borderId="1" xfId="0" applyFont="1" applyFill="1" applyBorder="1" applyAlignment="1"/>
    <xf numFmtId="2" fontId="43" fillId="2" borderId="46" xfId="0" applyNumberFormat="1" applyFont="1" applyFill="1" applyBorder="1" applyAlignment="1"/>
    <xf numFmtId="0" fontId="51" fillId="2" borderId="50" xfId="0" applyFont="1" applyFill="1" applyBorder="1" applyAlignment="1">
      <alignment horizontal="center"/>
    </xf>
    <xf numFmtId="0" fontId="51" fillId="2" borderId="51" xfId="0" applyFont="1" applyFill="1" applyBorder="1" applyAlignment="1">
      <alignment horizontal="center"/>
    </xf>
    <xf numFmtId="1" fontId="51" fillId="2" borderId="51" xfId="0" applyNumberFormat="1" applyFont="1" applyFill="1" applyBorder="1" applyAlignment="1"/>
    <xf numFmtId="2" fontId="51" fillId="2" borderId="51" xfId="0" applyNumberFormat="1" applyFont="1" applyFill="1" applyBorder="1" applyAlignment="1"/>
    <xf numFmtId="0" fontId="51" fillId="2" borderId="51" xfId="0" applyFont="1" applyFill="1" applyBorder="1" applyAlignment="1"/>
    <xf numFmtId="2" fontId="51" fillId="2" borderId="52" xfId="0" applyNumberFormat="1" applyFont="1" applyFill="1" applyBorder="1" applyAlignment="1"/>
    <xf numFmtId="0" fontId="43" fillId="2" borderId="0" xfId="0" applyFont="1" applyFill="1" applyAlignment="1">
      <alignment horizontal="center"/>
    </xf>
  </cellXfs>
  <cellStyles count="60">
    <cellStyle name="Comma 2" xfId="1"/>
    <cellStyle name="Comma 3" xfId="2"/>
    <cellStyle name="Excel Built-in Normal" xfId="3"/>
    <cellStyle name="Excel Built-in Normal 2" xfId="4"/>
    <cellStyle name="Followed Hyperlink" xfId="5" builtinId="9" customBuiltin="1"/>
    <cellStyle name="Heading 1" xfId="6" builtinId="16" customBuiltin="1"/>
    <cellStyle name="Heading 1 2" xfId="7"/>
    <cellStyle name="Heading 1 2 2" xfId="8"/>
    <cellStyle name="Heading 1 3" xfId="9"/>
    <cellStyle name="Heading 2" xfId="10" builtinId="17" customBuiltin="1"/>
    <cellStyle name="Heading 2 2" xfId="11"/>
    <cellStyle name="Heading 2 2 2" xfId="12"/>
    <cellStyle name="Heading 2 3" xfId="13"/>
    <cellStyle name="Hyperlink" xfId="14" builtinId="8" customBuiltin="1"/>
    <cellStyle name="Hyperlink 2" xfId="15"/>
    <cellStyle name="Normal" xfId="0" builtinId="0" customBuiltin="1"/>
    <cellStyle name="Normal 190" xfId="16"/>
    <cellStyle name="Normal 2" xfId="17"/>
    <cellStyle name="Normal 2 2" xfId="18"/>
    <cellStyle name="Normal 2 2 2" xfId="19"/>
    <cellStyle name="Normal 2 2 2 2" xfId="20"/>
    <cellStyle name="Normal 2 2 2 2 2" xfId="21"/>
    <cellStyle name="Normal 2 2 2 2 3" xfId="22"/>
    <cellStyle name="Normal 2 2 2 2 4" xfId="23"/>
    <cellStyle name="Normal 2 2 2 3" xfId="24"/>
    <cellStyle name="Normal 2 2 3" xfId="25"/>
    <cellStyle name="Normal 2 2 4" xfId="26"/>
    <cellStyle name="Normal 2 2 5" xfId="27"/>
    <cellStyle name="Normal 2 2 6" xfId="28"/>
    <cellStyle name="Normal 2 3" xfId="29"/>
    <cellStyle name="Normal 2 3 2" xfId="30"/>
    <cellStyle name="Normal 2 3 2 2" xfId="31"/>
    <cellStyle name="Normal 2 3 2 3" xfId="32"/>
    <cellStyle name="Normal 2 3 3" xfId="33"/>
    <cellStyle name="Normal 2 3 4" xfId="34"/>
    <cellStyle name="Normal 2 4" xfId="35"/>
    <cellStyle name="Normal 2 5" xfId="36"/>
    <cellStyle name="Normal 224" xfId="37"/>
    <cellStyle name="Normal 225" xfId="38"/>
    <cellStyle name="Normal 226" xfId="39"/>
    <cellStyle name="Normal 227" xfId="40"/>
    <cellStyle name="Normal 228" xfId="41"/>
    <cellStyle name="Normal 230" xfId="42"/>
    <cellStyle name="Normal 231" xfId="43"/>
    <cellStyle name="Normal 232" xfId="44"/>
    <cellStyle name="Normal 233" xfId="45"/>
    <cellStyle name="Normal 234" xfId="46"/>
    <cellStyle name="Normal 235" xfId="47"/>
    <cellStyle name="Normal 238" xfId="48"/>
    <cellStyle name="Normal 239" xfId="49"/>
    <cellStyle name="Normal 3" xfId="50"/>
    <cellStyle name="Normal 3 2" xfId="51"/>
    <cellStyle name="Normal 3 2 2" xfId="52"/>
    <cellStyle name="Normal 3 2 3" xfId="53"/>
    <cellStyle name="Normal 3 3" xfId="54"/>
    <cellStyle name="Normal 4" xfId="55"/>
    <cellStyle name="Normal 5" xfId="56"/>
    <cellStyle name="Normal 6" xfId="57"/>
    <cellStyle name="Normal_Bank wise progress" xfId="59"/>
    <cellStyle name="Percent" xfId="58" builtinId="5"/>
  </cellStyles>
  <dxfs count="2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trike val="0"/>
        <outline val="0"/>
        <shadow val="0"/>
        <u val="none"/>
        <vertAlign val="baseline"/>
        <sz val="10.5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trike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0.5"/>
        <color auto="1"/>
        <name val="Times New Roman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color rgb="FFFF0000"/>
      </font>
    </dxf>
    <dxf>
      <font>
        <color rgb="FFFF0000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i val="0"/>
      </font>
      <border>
        <top style="double">
          <color theme="4"/>
        </top>
      </border>
    </dxf>
    <dxf>
      <font>
        <color theme="2" tint="-0.749961851863155"/>
      </font>
      <border>
        <left/>
        <right/>
        <vertical/>
        <horizontal/>
      </border>
    </dxf>
    <dxf>
      <font>
        <color theme="4" tint="-0.249977111117893"/>
      </font>
      <border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  <vertical style="thin">
          <color theme="4" tint="0.59996337778862885"/>
        </vertical>
        <horizontal style="thin">
          <color theme="4" tint="0.59996337778862885"/>
        </horizontal>
      </border>
    </dxf>
  </dxfs>
  <tableStyles count="1" defaultTableStyle="Sales Invoice Table" defaultPivotStyle="PivotStyleLight16">
    <tableStyle name="Sales Invoice Table" pivot="0" count="7">
      <tableStyleElement type="wholeTable" dxfId="231"/>
      <tableStyleElement type="headerRow" dxfId="230"/>
      <tableStyleElement type="totalRow" dxfId="229"/>
      <tableStyleElement type="firstColumn" dxfId="228"/>
      <tableStyleElement type="lastColumn" dxfId="227"/>
      <tableStyleElement type="firstRowStripe" dxfId="226"/>
      <tableStyleElement type="firstColumnStripe" dxfId="225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8E4E8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b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495300</xdr:colOff>
      <xdr:row>64</xdr:row>
      <xdr:rowOff>66675</xdr:rowOff>
    </xdr:from>
    <xdr:ext cx="184731" cy="264560"/>
    <xdr:sp macro="" textlink="">
      <xdr:nvSpPr>
        <xdr:cNvPr id="2" name="TextBox 1"/>
        <xdr:cNvSpPr txBox="1"/>
      </xdr:nvSpPr>
      <xdr:spPr>
        <a:xfrm>
          <a:off x="3238500" y="123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457200</xdr:colOff>
      <xdr:row>49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772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CustomerList" displayName="CustomerList" ref="A3:G61" totalsRowShown="0" headerRowDxfId="222" dataDxfId="221" totalsRowDxfId="220">
  <autoFilter ref="A3:G61"/>
  <tableColumns count="7">
    <tableColumn id="1" name="SR" dataDxfId="219" totalsRowDxfId="218"/>
    <tableColumn id="2" name="BANKS" dataDxfId="217" totalsRowDxfId="216"/>
    <tableColumn id="3" name="RURAL" dataDxfId="215" totalsRowDxfId="214"/>
    <tableColumn id="4" name="SEMI URBAN" dataDxfId="213" totalsRowDxfId="212"/>
    <tableColumn id="5" name="URBAN" dataDxfId="211" totalsRowDxfId="210"/>
    <tableColumn id="6" name="TOTAL" dataDxfId="209" totalsRowDxfId="208"/>
    <tableColumn id="8" name="ATMS" dataDxfId="207" totalsRowDxfId="206"/>
  </tableColumns>
  <tableStyleInfo name="Sales Invoice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oncourse">
      <a:dk1>
        <a:sysClr val="windowText" lastClr="000000"/>
      </a:dk1>
      <a:lt1>
        <a:sysClr val="window" lastClr="FFFFFF"/>
      </a:lt1>
      <a:dk2>
        <a:srgbClr val="464646"/>
      </a:dk2>
      <a:lt2>
        <a:srgbClr val="DEF5FA"/>
      </a:lt2>
      <a:accent1>
        <a:srgbClr val="2DA2BF"/>
      </a:accent1>
      <a:accent2>
        <a:srgbClr val="DA1F28"/>
      </a:accent2>
      <a:accent3>
        <a:srgbClr val="EB641B"/>
      </a:accent3>
      <a:accent4>
        <a:srgbClr val="39639D"/>
      </a:accent4>
      <a:accent5>
        <a:srgbClr val="474B78"/>
      </a:accent5>
      <a:accent6>
        <a:srgbClr val="7D3C4A"/>
      </a:accent6>
      <a:hlink>
        <a:srgbClr val="FF8119"/>
      </a:hlink>
      <a:folHlink>
        <a:srgbClr val="44B9E8"/>
      </a:folHlink>
    </a:clrScheme>
    <a:fontScheme name="Sales Invoice">
      <a:majorFont>
        <a:latin typeface="Aria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63"/>
    <pageSetUpPr autoPageBreaks="0"/>
  </sheetPr>
  <dimension ref="A1:G61"/>
  <sheetViews>
    <sheetView showGridLines="0" view="pageBreakPreview" zoomScale="60" zoomScaleNormal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F62" sqref="F62"/>
    </sheetView>
  </sheetViews>
  <sheetFormatPr defaultRowHeight="18.75" customHeight="1" x14ac:dyDescent="0.2"/>
  <cols>
    <col min="1" max="1" width="5.7109375" style="52" customWidth="1"/>
    <col min="2" max="2" width="25.85546875" style="52" customWidth="1"/>
    <col min="3" max="3" width="12.42578125" style="56" bestFit="1" customWidth="1"/>
    <col min="4" max="4" width="13.140625" style="56" customWidth="1"/>
    <col min="5" max="5" width="12.28515625" style="56" bestFit="1" customWidth="1"/>
    <col min="6" max="6" width="12.140625" style="56" bestFit="1" customWidth="1"/>
    <col min="7" max="7" width="11" style="56" bestFit="1" customWidth="1"/>
    <col min="8" max="16384" width="9.140625" style="52"/>
  </cols>
  <sheetData>
    <row r="1" spans="1:7" ht="18.75" customHeight="1" x14ac:dyDescent="0.2">
      <c r="A1" s="454" t="s">
        <v>349</v>
      </c>
      <c r="B1" s="454"/>
      <c r="C1" s="454"/>
      <c r="D1" s="454"/>
      <c r="E1" s="454"/>
      <c r="F1" s="454"/>
      <c r="G1" s="454"/>
    </row>
    <row r="2" spans="1:7" s="53" customFormat="1" ht="15" customHeight="1" x14ac:dyDescent="0.2">
      <c r="A2" s="455" t="s">
        <v>98</v>
      </c>
      <c r="B2" s="455"/>
      <c r="C2" s="455"/>
      <c r="D2" s="455"/>
      <c r="E2" s="455"/>
      <c r="F2" s="455"/>
      <c r="G2" s="455"/>
    </row>
    <row r="3" spans="1:7" s="55" customFormat="1" ht="15" customHeight="1" x14ac:dyDescent="0.2">
      <c r="A3" s="54" t="s">
        <v>231</v>
      </c>
      <c r="B3" s="54" t="s">
        <v>3</v>
      </c>
      <c r="C3" s="54" t="s">
        <v>4</v>
      </c>
      <c r="D3" s="54" t="s">
        <v>5</v>
      </c>
      <c r="E3" s="54" t="s">
        <v>6</v>
      </c>
      <c r="F3" s="54" t="s">
        <v>0</v>
      </c>
      <c r="G3" s="54" t="s">
        <v>7</v>
      </c>
    </row>
    <row r="4" spans="1:7" ht="15" customHeight="1" x14ac:dyDescent="0.2">
      <c r="A4" s="57">
        <v>1</v>
      </c>
      <c r="B4" s="58" t="s">
        <v>55</v>
      </c>
      <c r="C4" s="58">
        <v>84</v>
      </c>
      <c r="D4" s="58">
        <v>47</v>
      </c>
      <c r="E4" s="58">
        <v>74</v>
      </c>
      <c r="F4" s="58">
        <f>CustomerList[[#This Row],[URBAN]]+CustomerList[[#This Row],[SEMI URBAN]]+CustomerList[[#This Row],[RURAL]]</f>
        <v>205</v>
      </c>
      <c r="G4" s="58">
        <v>90</v>
      </c>
    </row>
    <row r="5" spans="1:7" ht="15" customHeight="1" x14ac:dyDescent="0.2">
      <c r="A5" s="57">
        <v>2</v>
      </c>
      <c r="B5" s="58" t="s">
        <v>56</v>
      </c>
      <c r="C5" s="58">
        <v>2</v>
      </c>
      <c r="D5" s="58">
        <v>10</v>
      </c>
      <c r="E5" s="58">
        <v>33</v>
      </c>
      <c r="F5" s="58">
        <f>CustomerList[[#This Row],[URBAN]]+CustomerList[[#This Row],[SEMI URBAN]]+CustomerList[[#This Row],[RURAL]]</f>
        <v>45</v>
      </c>
      <c r="G5" s="58">
        <v>38</v>
      </c>
    </row>
    <row r="6" spans="1:7" ht="15" customHeight="1" x14ac:dyDescent="0.2">
      <c r="A6" s="57">
        <v>3</v>
      </c>
      <c r="B6" s="58" t="s">
        <v>57</v>
      </c>
      <c r="C6" s="58">
        <v>31</v>
      </c>
      <c r="D6" s="58">
        <v>81</v>
      </c>
      <c r="E6" s="58">
        <v>76</v>
      </c>
      <c r="F6" s="58">
        <f>CustomerList[[#This Row],[URBAN]]+CustomerList[[#This Row],[SEMI URBAN]]+CustomerList[[#This Row],[RURAL]]</f>
        <v>188</v>
      </c>
      <c r="G6" s="58">
        <v>348</v>
      </c>
    </row>
    <row r="7" spans="1:7" ht="15" customHeight="1" x14ac:dyDescent="0.2">
      <c r="A7" s="57">
        <v>4</v>
      </c>
      <c r="B7" s="58" t="s">
        <v>58</v>
      </c>
      <c r="C7" s="58">
        <v>187</v>
      </c>
      <c r="D7" s="58">
        <v>141</v>
      </c>
      <c r="E7" s="58">
        <v>111</v>
      </c>
      <c r="F7" s="58">
        <f>CustomerList[[#This Row],[URBAN]]+CustomerList[[#This Row],[SEMI URBAN]]+CustomerList[[#This Row],[RURAL]]</f>
        <v>439</v>
      </c>
      <c r="G7" s="58">
        <v>712</v>
      </c>
    </row>
    <row r="8" spans="1:7" ht="15" customHeight="1" x14ac:dyDescent="0.2">
      <c r="A8" s="57">
        <v>5</v>
      </c>
      <c r="B8" s="58" t="s">
        <v>59</v>
      </c>
      <c r="C8" s="58">
        <v>86</v>
      </c>
      <c r="D8" s="58">
        <v>22</v>
      </c>
      <c r="E8" s="58">
        <v>37</v>
      </c>
      <c r="F8" s="58">
        <f>CustomerList[[#This Row],[URBAN]]+CustomerList[[#This Row],[SEMI URBAN]]+CustomerList[[#This Row],[RURAL]]</f>
        <v>145</v>
      </c>
      <c r="G8" s="58">
        <v>150</v>
      </c>
    </row>
    <row r="9" spans="1:7" ht="15" customHeight="1" x14ac:dyDescent="0.2">
      <c r="A9" s="57">
        <v>6</v>
      </c>
      <c r="B9" s="58" t="s">
        <v>242</v>
      </c>
      <c r="C9" s="58">
        <v>0</v>
      </c>
      <c r="D9" s="58">
        <v>0</v>
      </c>
      <c r="E9" s="58">
        <v>4</v>
      </c>
      <c r="F9" s="58">
        <f>CustomerList[[#This Row],[URBAN]]+CustomerList[[#This Row],[SEMI URBAN]]+CustomerList[[#This Row],[RURAL]]</f>
        <v>4</v>
      </c>
      <c r="G9" s="58">
        <v>5</v>
      </c>
    </row>
    <row r="10" spans="1:7" ht="15" customHeight="1" x14ac:dyDescent="0.2">
      <c r="A10" s="57">
        <v>7</v>
      </c>
      <c r="B10" s="58" t="s">
        <v>60</v>
      </c>
      <c r="C10" s="58">
        <v>27</v>
      </c>
      <c r="D10" s="58">
        <v>93</v>
      </c>
      <c r="E10" s="58">
        <v>95</v>
      </c>
      <c r="F10" s="58">
        <f>CustomerList[[#This Row],[URBAN]]+CustomerList[[#This Row],[SEMI URBAN]]+CustomerList[[#This Row],[RURAL]]</f>
        <v>215</v>
      </c>
      <c r="G10" s="58">
        <v>271</v>
      </c>
    </row>
    <row r="11" spans="1:7" ht="15" customHeight="1" x14ac:dyDescent="0.2">
      <c r="A11" s="57">
        <v>8</v>
      </c>
      <c r="B11" s="58" t="s">
        <v>61</v>
      </c>
      <c r="C11" s="58">
        <v>235</v>
      </c>
      <c r="D11" s="58">
        <v>140</v>
      </c>
      <c r="E11" s="58">
        <v>94</v>
      </c>
      <c r="F11" s="58">
        <f>CustomerList[[#This Row],[URBAN]]+CustomerList[[#This Row],[SEMI URBAN]]+CustomerList[[#This Row],[RURAL]]</f>
        <v>469</v>
      </c>
      <c r="G11" s="58">
        <v>585</v>
      </c>
    </row>
    <row r="12" spans="1:7" ht="15" customHeight="1" x14ac:dyDescent="0.2">
      <c r="A12" s="57">
        <v>9</v>
      </c>
      <c r="B12" s="58" t="s">
        <v>48</v>
      </c>
      <c r="C12" s="58">
        <v>9</v>
      </c>
      <c r="D12" s="58">
        <v>17</v>
      </c>
      <c r="E12" s="58">
        <v>38</v>
      </c>
      <c r="F12" s="58">
        <f>CustomerList[[#This Row],[URBAN]]+CustomerList[[#This Row],[SEMI URBAN]]+CustomerList[[#This Row],[RURAL]]</f>
        <v>64</v>
      </c>
      <c r="G12" s="58">
        <v>91</v>
      </c>
    </row>
    <row r="13" spans="1:7" ht="15" customHeight="1" x14ac:dyDescent="0.2">
      <c r="A13" s="57">
        <v>10</v>
      </c>
      <c r="B13" s="58" t="s">
        <v>49</v>
      </c>
      <c r="C13" s="58">
        <v>9</v>
      </c>
      <c r="D13" s="58">
        <v>20</v>
      </c>
      <c r="E13" s="58">
        <v>39</v>
      </c>
      <c r="F13" s="58">
        <f>CustomerList[[#This Row],[URBAN]]+CustomerList[[#This Row],[SEMI URBAN]]+CustomerList[[#This Row],[RURAL]]</f>
        <v>68</v>
      </c>
      <c r="G13" s="58">
        <v>58</v>
      </c>
    </row>
    <row r="14" spans="1:7" ht="15" customHeight="1" x14ac:dyDescent="0.2">
      <c r="A14" s="57">
        <v>11</v>
      </c>
      <c r="B14" s="58" t="s">
        <v>81</v>
      </c>
      <c r="C14" s="58">
        <v>24</v>
      </c>
      <c r="D14" s="58">
        <v>38</v>
      </c>
      <c r="E14" s="58">
        <v>39</v>
      </c>
      <c r="F14" s="58">
        <f>CustomerList[[#This Row],[URBAN]]+CustomerList[[#This Row],[SEMI URBAN]]+CustomerList[[#This Row],[RURAL]]</f>
        <v>101</v>
      </c>
      <c r="G14" s="58">
        <v>179</v>
      </c>
    </row>
    <row r="15" spans="1:7" ht="15" customHeight="1" x14ac:dyDescent="0.2">
      <c r="A15" s="57">
        <v>12</v>
      </c>
      <c r="B15" s="58" t="s">
        <v>62</v>
      </c>
      <c r="C15" s="58">
        <v>0</v>
      </c>
      <c r="D15" s="58">
        <v>6</v>
      </c>
      <c r="E15" s="58">
        <v>22</v>
      </c>
      <c r="F15" s="58">
        <f>CustomerList[[#This Row],[URBAN]]+CustomerList[[#This Row],[SEMI URBAN]]+CustomerList[[#This Row],[RURAL]]</f>
        <v>28</v>
      </c>
      <c r="G15" s="58">
        <v>29</v>
      </c>
    </row>
    <row r="16" spans="1:7" ht="15" customHeight="1" x14ac:dyDescent="0.2">
      <c r="A16" s="57">
        <v>13</v>
      </c>
      <c r="B16" s="58" t="s">
        <v>63</v>
      </c>
      <c r="C16" s="58">
        <v>12</v>
      </c>
      <c r="D16" s="58">
        <v>9</v>
      </c>
      <c r="E16" s="58">
        <v>40</v>
      </c>
      <c r="F16" s="58">
        <f>CustomerList[[#This Row],[URBAN]]+CustomerList[[#This Row],[SEMI URBAN]]+CustomerList[[#This Row],[RURAL]]</f>
        <v>61</v>
      </c>
      <c r="G16" s="58">
        <v>61</v>
      </c>
    </row>
    <row r="17" spans="1:7" ht="15" customHeight="1" x14ac:dyDescent="0.2">
      <c r="A17" s="57">
        <v>14</v>
      </c>
      <c r="B17" s="58" t="s">
        <v>207</v>
      </c>
      <c r="C17" s="58">
        <v>13</v>
      </c>
      <c r="D17" s="58">
        <v>14</v>
      </c>
      <c r="E17" s="58">
        <v>49</v>
      </c>
      <c r="F17" s="58">
        <f>CustomerList[[#This Row],[URBAN]]+CustomerList[[#This Row],[SEMI URBAN]]+CustomerList[[#This Row],[RURAL]]</f>
        <v>76</v>
      </c>
      <c r="G17" s="58">
        <v>83</v>
      </c>
    </row>
    <row r="18" spans="1:7" ht="15" customHeight="1" x14ac:dyDescent="0.2">
      <c r="A18" s="57">
        <v>15</v>
      </c>
      <c r="B18" s="58" t="s">
        <v>208</v>
      </c>
      <c r="C18" s="58">
        <v>10</v>
      </c>
      <c r="D18" s="58">
        <v>6</v>
      </c>
      <c r="E18" s="58">
        <v>24</v>
      </c>
      <c r="F18" s="58">
        <f>CustomerList[[#This Row],[URBAN]]+CustomerList[[#This Row],[SEMI URBAN]]+CustomerList[[#This Row],[RURAL]]</f>
        <v>40</v>
      </c>
      <c r="G18" s="58">
        <v>34</v>
      </c>
    </row>
    <row r="19" spans="1:7" ht="15" customHeight="1" x14ac:dyDescent="0.2">
      <c r="A19" s="57">
        <v>16</v>
      </c>
      <c r="B19" s="58" t="s">
        <v>64</v>
      </c>
      <c r="C19" s="58">
        <v>85</v>
      </c>
      <c r="D19" s="58">
        <v>91</v>
      </c>
      <c r="E19" s="58">
        <v>112</v>
      </c>
      <c r="F19" s="58">
        <f>CustomerList[[#This Row],[URBAN]]+CustomerList[[#This Row],[SEMI URBAN]]+CustomerList[[#This Row],[RURAL]]</f>
        <v>288</v>
      </c>
      <c r="G19" s="58">
        <v>529</v>
      </c>
    </row>
    <row r="20" spans="1:7" ht="15" customHeight="1" x14ac:dyDescent="0.2">
      <c r="A20" s="57">
        <v>17</v>
      </c>
      <c r="B20" s="58" t="s">
        <v>69</v>
      </c>
      <c r="C20" s="58">
        <v>0</v>
      </c>
      <c r="D20" s="58">
        <v>1</v>
      </c>
      <c r="E20" s="58">
        <v>4</v>
      </c>
      <c r="F20" s="58">
        <f>CustomerList[[#This Row],[URBAN]]+CustomerList[[#This Row],[SEMI URBAN]]+CustomerList[[#This Row],[RURAL]]</f>
        <v>5</v>
      </c>
      <c r="G20" s="58">
        <v>2</v>
      </c>
    </row>
    <row r="21" spans="1:7" ht="15" customHeight="1" x14ac:dyDescent="0.2">
      <c r="A21" s="57">
        <v>18</v>
      </c>
      <c r="B21" s="58" t="s">
        <v>209</v>
      </c>
      <c r="C21" s="58">
        <v>0</v>
      </c>
      <c r="D21" s="58">
        <v>0</v>
      </c>
      <c r="E21" s="58">
        <v>3</v>
      </c>
      <c r="F21" s="58">
        <f>CustomerList[[#This Row],[URBAN]]+CustomerList[[#This Row],[SEMI URBAN]]+CustomerList[[#This Row],[RURAL]]</f>
        <v>3</v>
      </c>
      <c r="G21" s="58">
        <v>3</v>
      </c>
    </row>
    <row r="22" spans="1:7" ht="15" customHeight="1" x14ac:dyDescent="0.2">
      <c r="A22" s="57">
        <v>19</v>
      </c>
      <c r="B22" s="58" t="s">
        <v>210</v>
      </c>
      <c r="C22" s="58">
        <v>0</v>
      </c>
      <c r="D22" s="58">
        <v>0</v>
      </c>
      <c r="E22" s="58">
        <v>7</v>
      </c>
      <c r="F22" s="58">
        <f>CustomerList[[#This Row],[URBAN]]+CustomerList[[#This Row],[SEMI URBAN]]+CustomerList[[#This Row],[RURAL]]</f>
        <v>7</v>
      </c>
      <c r="G22" s="58">
        <v>7</v>
      </c>
    </row>
    <row r="23" spans="1:7" ht="15" customHeight="1" x14ac:dyDescent="0.2">
      <c r="A23" s="57">
        <v>20</v>
      </c>
      <c r="B23" s="58" t="s">
        <v>211</v>
      </c>
      <c r="C23" s="58">
        <v>0</v>
      </c>
      <c r="D23" s="58">
        <v>0</v>
      </c>
      <c r="E23" s="58">
        <v>3</v>
      </c>
      <c r="F23" s="58">
        <f>CustomerList[[#This Row],[URBAN]]+CustomerList[[#This Row],[SEMI URBAN]]+CustomerList[[#This Row],[RURAL]]</f>
        <v>3</v>
      </c>
      <c r="G23" s="58">
        <v>3</v>
      </c>
    </row>
    <row r="24" spans="1:7" ht="15" customHeight="1" x14ac:dyDescent="0.2">
      <c r="A24" s="57">
        <v>21</v>
      </c>
      <c r="B24" s="58" t="s">
        <v>212</v>
      </c>
      <c r="C24" s="58">
        <v>1</v>
      </c>
      <c r="D24" s="58">
        <v>0</v>
      </c>
      <c r="E24" s="58">
        <v>9</v>
      </c>
      <c r="F24" s="58">
        <f>CustomerList[[#This Row],[URBAN]]+CustomerList[[#This Row],[SEMI URBAN]]+CustomerList[[#This Row],[RURAL]]</f>
        <v>10</v>
      </c>
      <c r="G24" s="58">
        <v>9</v>
      </c>
    </row>
    <row r="25" spans="1:7" ht="15" customHeight="1" x14ac:dyDescent="0.2">
      <c r="A25" s="57">
        <v>22</v>
      </c>
      <c r="B25" s="58" t="s">
        <v>70</v>
      </c>
      <c r="C25" s="58">
        <v>337</v>
      </c>
      <c r="D25" s="58">
        <v>364</v>
      </c>
      <c r="E25" s="58">
        <v>454</v>
      </c>
      <c r="F25" s="58">
        <f>CustomerList[[#This Row],[URBAN]]+CustomerList[[#This Row],[SEMI URBAN]]+CustomerList[[#This Row],[RURAL]]</f>
        <v>1155</v>
      </c>
      <c r="G25" s="58">
        <v>3502</v>
      </c>
    </row>
    <row r="26" spans="1:7" ht="15" customHeight="1" x14ac:dyDescent="0.2">
      <c r="A26" s="57">
        <v>23</v>
      </c>
      <c r="B26" s="58" t="s">
        <v>65</v>
      </c>
      <c r="C26" s="58">
        <v>17</v>
      </c>
      <c r="D26" s="58">
        <v>16</v>
      </c>
      <c r="E26" s="58">
        <v>68</v>
      </c>
      <c r="F26" s="58">
        <f>CustomerList[[#This Row],[URBAN]]+CustomerList[[#This Row],[SEMI URBAN]]+CustomerList[[#This Row],[RURAL]]</f>
        <v>101</v>
      </c>
      <c r="G26" s="58">
        <v>85</v>
      </c>
    </row>
    <row r="27" spans="1:7" ht="15" customHeight="1" x14ac:dyDescent="0.2">
      <c r="A27" s="57">
        <v>24</v>
      </c>
      <c r="B27" s="58" t="s">
        <v>213</v>
      </c>
      <c r="C27" s="58">
        <v>54</v>
      </c>
      <c r="D27" s="58">
        <v>44</v>
      </c>
      <c r="E27" s="58">
        <v>71</v>
      </c>
      <c r="F27" s="58">
        <f>CustomerList[[#This Row],[URBAN]]+CustomerList[[#This Row],[SEMI URBAN]]+CustomerList[[#This Row],[RURAL]]</f>
        <v>169</v>
      </c>
      <c r="G27" s="58">
        <v>170</v>
      </c>
    </row>
    <row r="28" spans="1:7" ht="15" customHeight="1" x14ac:dyDescent="0.2">
      <c r="A28" s="57">
        <v>25</v>
      </c>
      <c r="B28" s="58" t="s">
        <v>66</v>
      </c>
      <c r="C28" s="58">
        <v>105</v>
      </c>
      <c r="D28" s="58">
        <v>85</v>
      </c>
      <c r="E28" s="58">
        <v>88</v>
      </c>
      <c r="F28" s="58">
        <f>CustomerList[[#This Row],[URBAN]]+CustomerList[[#This Row],[SEMI URBAN]]+CustomerList[[#This Row],[RURAL]]</f>
        <v>278</v>
      </c>
      <c r="G28" s="58">
        <v>614</v>
      </c>
    </row>
    <row r="29" spans="1:7" ht="15" customHeight="1" x14ac:dyDescent="0.2">
      <c r="A29" s="57">
        <v>26</v>
      </c>
      <c r="B29" s="58" t="s">
        <v>67</v>
      </c>
      <c r="C29" s="58">
        <v>0</v>
      </c>
      <c r="D29" s="58">
        <v>0</v>
      </c>
      <c r="E29" s="58">
        <v>13</v>
      </c>
      <c r="F29" s="58">
        <f>CustomerList[[#This Row],[URBAN]]+CustomerList[[#This Row],[SEMI URBAN]]+CustomerList[[#This Row],[RURAL]]</f>
        <v>13</v>
      </c>
      <c r="G29" s="58">
        <v>24</v>
      </c>
    </row>
    <row r="30" spans="1:7" ht="15" customHeight="1" x14ac:dyDescent="0.2">
      <c r="A30" s="57">
        <v>27</v>
      </c>
      <c r="B30" s="58" t="s">
        <v>50</v>
      </c>
      <c r="C30" s="58">
        <v>9</v>
      </c>
      <c r="D30" s="58">
        <v>26</v>
      </c>
      <c r="E30" s="58">
        <v>36</v>
      </c>
      <c r="F30" s="58">
        <f>CustomerList[[#This Row],[URBAN]]+CustomerList[[#This Row],[SEMI URBAN]]+CustomerList[[#This Row],[RURAL]]</f>
        <v>71</v>
      </c>
      <c r="G30" s="58">
        <v>65</v>
      </c>
    </row>
    <row r="31" spans="1:7" ht="15" customHeight="1" x14ac:dyDescent="0.2">
      <c r="A31" s="214"/>
      <c r="B31" s="60" t="s">
        <v>288</v>
      </c>
      <c r="C31" s="60">
        <f>SUBTOTAL(109,C4:C30)</f>
        <v>1337</v>
      </c>
      <c r="D31" s="60">
        <f t="shared" ref="D31:G31" si="0">SUBTOTAL(109,D4:D30)</f>
        <v>1271</v>
      </c>
      <c r="E31" s="60">
        <f t="shared" si="0"/>
        <v>1643</v>
      </c>
      <c r="F31" s="60">
        <f t="shared" si="0"/>
        <v>4251</v>
      </c>
      <c r="G31" s="60">
        <f t="shared" si="0"/>
        <v>7747</v>
      </c>
    </row>
    <row r="32" spans="1:7" ht="15" customHeight="1" x14ac:dyDescent="0.2">
      <c r="A32" s="57">
        <v>28</v>
      </c>
      <c r="B32" s="58" t="s">
        <v>47</v>
      </c>
      <c r="C32" s="58">
        <v>19</v>
      </c>
      <c r="D32" s="58">
        <v>40</v>
      </c>
      <c r="E32" s="58">
        <v>66</v>
      </c>
      <c r="F32" s="58">
        <f>CustomerList[[#This Row],[URBAN]]+CustomerList[[#This Row],[SEMI URBAN]]+CustomerList[[#This Row],[RURAL]]</f>
        <v>125</v>
      </c>
      <c r="G32" s="58">
        <v>380</v>
      </c>
    </row>
    <row r="33" spans="1:7" ht="15" customHeight="1" x14ac:dyDescent="0.2">
      <c r="A33" s="57">
        <v>29</v>
      </c>
      <c r="B33" s="58" t="s">
        <v>215</v>
      </c>
      <c r="C33" s="58">
        <v>4</v>
      </c>
      <c r="D33" s="58">
        <v>6</v>
      </c>
      <c r="E33" s="58">
        <v>14</v>
      </c>
      <c r="F33" s="58">
        <f>CustomerList[[#This Row],[URBAN]]+CustomerList[[#This Row],[SEMI URBAN]]+CustomerList[[#This Row],[RURAL]]</f>
        <v>24</v>
      </c>
      <c r="G33" s="58">
        <v>13</v>
      </c>
    </row>
    <row r="34" spans="1:7" ht="15" customHeight="1" x14ac:dyDescent="0.2">
      <c r="A34" s="57">
        <v>30</v>
      </c>
      <c r="B34" s="58" t="s">
        <v>216</v>
      </c>
      <c r="C34" s="58">
        <v>0</v>
      </c>
      <c r="D34" s="58">
        <v>0</v>
      </c>
      <c r="E34" s="58">
        <v>1</v>
      </c>
      <c r="F34" s="58">
        <f>CustomerList[[#This Row],[URBAN]]+CustomerList[[#This Row],[SEMI URBAN]]+CustomerList[[#This Row],[RURAL]]</f>
        <v>1</v>
      </c>
      <c r="G34" s="58">
        <v>1</v>
      </c>
    </row>
    <row r="35" spans="1:7" ht="15" customHeight="1" x14ac:dyDescent="0.2">
      <c r="A35" s="57">
        <v>31</v>
      </c>
      <c r="B35" s="58" t="s">
        <v>78</v>
      </c>
      <c r="C35" s="58">
        <v>0</v>
      </c>
      <c r="D35" s="58">
        <v>0</v>
      </c>
      <c r="E35" s="58">
        <v>1</v>
      </c>
      <c r="F35" s="58">
        <f>CustomerList[[#This Row],[URBAN]]+CustomerList[[#This Row],[SEMI URBAN]]+CustomerList[[#This Row],[RURAL]]</f>
        <v>1</v>
      </c>
      <c r="G35" s="58">
        <v>2</v>
      </c>
    </row>
    <row r="36" spans="1:7" ht="15" customHeight="1" x14ac:dyDescent="0.2">
      <c r="A36" s="57">
        <v>32</v>
      </c>
      <c r="B36" s="58" t="s">
        <v>51</v>
      </c>
      <c r="C36" s="58">
        <v>0</v>
      </c>
      <c r="D36" s="58">
        <v>0</v>
      </c>
      <c r="E36" s="58">
        <v>2</v>
      </c>
      <c r="F36" s="58">
        <f>CustomerList[[#This Row],[URBAN]]+CustomerList[[#This Row],[SEMI URBAN]]+CustomerList[[#This Row],[RURAL]]</f>
        <v>2</v>
      </c>
      <c r="G36" s="58">
        <v>4</v>
      </c>
    </row>
    <row r="37" spans="1:7" ht="15" customHeight="1" x14ac:dyDescent="0.2">
      <c r="A37" s="57">
        <v>33</v>
      </c>
      <c r="B37" s="58" t="s">
        <v>217</v>
      </c>
      <c r="C37" s="58">
        <v>0</v>
      </c>
      <c r="D37" s="58">
        <v>0</v>
      </c>
      <c r="E37" s="58">
        <v>17</v>
      </c>
      <c r="F37" s="58">
        <f>CustomerList[[#This Row],[URBAN]]+CustomerList[[#This Row],[SEMI URBAN]]+CustomerList[[#This Row],[RURAL]]</f>
        <v>17</v>
      </c>
      <c r="G37" s="58">
        <v>17</v>
      </c>
    </row>
    <row r="38" spans="1:7" ht="15" customHeight="1" x14ac:dyDescent="0.2">
      <c r="A38" s="57">
        <v>34</v>
      </c>
      <c r="B38" s="58" t="s">
        <v>218</v>
      </c>
      <c r="C38" s="58">
        <v>0</v>
      </c>
      <c r="D38" s="58">
        <v>0</v>
      </c>
      <c r="E38" s="58">
        <v>1</v>
      </c>
      <c r="F38" s="58">
        <f>CustomerList[[#This Row],[URBAN]]+CustomerList[[#This Row],[SEMI URBAN]]+CustomerList[[#This Row],[RURAL]]</f>
        <v>1</v>
      </c>
      <c r="G38" s="58">
        <v>2</v>
      </c>
    </row>
    <row r="39" spans="1:7" ht="15" customHeight="1" x14ac:dyDescent="0.2">
      <c r="A39" s="57">
        <v>35</v>
      </c>
      <c r="B39" s="58" t="s">
        <v>219</v>
      </c>
      <c r="C39" s="58">
        <v>0</v>
      </c>
      <c r="D39" s="58">
        <v>0</v>
      </c>
      <c r="E39" s="58">
        <v>11</v>
      </c>
      <c r="F39" s="58">
        <f>CustomerList[[#This Row],[URBAN]]+CustomerList[[#This Row],[SEMI URBAN]]+CustomerList[[#This Row],[RURAL]]</f>
        <v>11</v>
      </c>
      <c r="G39" s="58">
        <v>11</v>
      </c>
    </row>
    <row r="40" spans="1:7" ht="15" customHeight="1" x14ac:dyDescent="0.2">
      <c r="A40" s="57">
        <v>36</v>
      </c>
      <c r="B40" s="58" t="s">
        <v>71</v>
      </c>
      <c r="C40" s="58">
        <v>11</v>
      </c>
      <c r="D40" s="58">
        <v>49</v>
      </c>
      <c r="E40" s="58">
        <v>70</v>
      </c>
      <c r="F40" s="58">
        <f>CustomerList[[#This Row],[URBAN]]+CustomerList[[#This Row],[SEMI URBAN]]+CustomerList[[#This Row],[RURAL]]</f>
        <v>130</v>
      </c>
      <c r="G40" s="58">
        <v>248</v>
      </c>
    </row>
    <row r="41" spans="1:7" ht="15" customHeight="1" x14ac:dyDescent="0.2">
      <c r="A41" s="57">
        <v>37</v>
      </c>
      <c r="B41" s="58" t="s">
        <v>72</v>
      </c>
      <c r="C41" s="58">
        <v>52</v>
      </c>
      <c r="D41" s="58">
        <v>76</v>
      </c>
      <c r="E41" s="58">
        <v>82</v>
      </c>
      <c r="F41" s="58">
        <f>CustomerList[[#This Row],[URBAN]]+CustomerList[[#This Row],[SEMI URBAN]]+CustomerList[[#This Row],[RURAL]]</f>
        <v>210</v>
      </c>
      <c r="G41" s="58">
        <v>382</v>
      </c>
    </row>
    <row r="42" spans="1:7" ht="15" customHeight="1" x14ac:dyDescent="0.2">
      <c r="A42" s="57">
        <v>38</v>
      </c>
      <c r="B42" s="58" t="s">
        <v>220</v>
      </c>
      <c r="C42" s="58">
        <v>16</v>
      </c>
      <c r="D42" s="58">
        <v>15</v>
      </c>
      <c r="E42" s="58">
        <v>4</v>
      </c>
      <c r="F42" s="58">
        <f>CustomerList[[#This Row],[URBAN]]+CustomerList[[#This Row],[SEMI URBAN]]+CustomerList[[#This Row],[RURAL]]</f>
        <v>35</v>
      </c>
      <c r="G42" s="58">
        <v>2</v>
      </c>
    </row>
    <row r="43" spans="1:7" ht="15" customHeight="1" x14ac:dyDescent="0.2">
      <c r="A43" s="57">
        <v>39</v>
      </c>
      <c r="B43" s="58" t="s">
        <v>221</v>
      </c>
      <c r="C43" s="58">
        <v>26</v>
      </c>
      <c r="D43" s="58">
        <v>17</v>
      </c>
      <c r="E43" s="58">
        <v>20</v>
      </c>
      <c r="F43" s="58">
        <f>CustomerList[[#This Row],[URBAN]]+CustomerList[[#This Row],[SEMI URBAN]]+CustomerList[[#This Row],[RURAL]]</f>
        <v>63</v>
      </c>
      <c r="G43" s="58">
        <v>53</v>
      </c>
    </row>
    <row r="44" spans="1:7" ht="15" customHeight="1" x14ac:dyDescent="0.2">
      <c r="A44" s="57">
        <v>40</v>
      </c>
      <c r="B44" s="58" t="s">
        <v>222</v>
      </c>
      <c r="C44" s="58">
        <v>0</v>
      </c>
      <c r="D44" s="58">
        <v>0</v>
      </c>
      <c r="E44" s="58">
        <v>2</v>
      </c>
      <c r="F44" s="58">
        <f>CustomerList[[#This Row],[URBAN]]+CustomerList[[#This Row],[SEMI URBAN]]+CustomerList[[#This Row],[RURAL]]</f>
        <v>2</v>
      </c>
      <c r="G44" s="58">
        <v>1</v>
      </c>
    </row>
    <row r="45" spans="1:7" ht="15" customHeight="1" x14ac:dyDescent="0.2">
      <c r="A45" s="57">
        <v>41</v>
      </c>
      <c r="B45" s="58" t="s">
        <v>223</v>
      </c>
      <c r="C45" s="58">
        <v>0</v>
      </c>
      <c r="D45" s="58">
        <v>0</v>
      </c>
      <c r="E45" s="58">
        <v>7</v>
      </c>
      <c r="F45" s="58">
        <f>CustomerList[[#This Row],[URBAN]]+CustomerList[[#This Row],[SEMI URBAN]]+CustomerList[[#This Row],[RURAL]]</f>
        <v>7</v>
      </c>
      <c r="G45" s="58">
        <v>9</v>
      </c>
    </row>
    <row r="46" spans="1:7" ht="15" customHeight="1" x14ac:dyDescent="0.2">
      <c r="A46" s="57">
        <v>42</v>
      </c>
      <c r="B46" s="58" t="s">
        <v>224</v>
      </c>
      <c r="C46" s="58">
        <v>0</v>
      </c>
      <c r="D46" s="58">
        <v>0</v>
      </c>
      <c r="E46" s="58">
        <v>3</v>
      </c>
      <c r="F46" s="58">
        <f>CustomerList[[#This Row],[URBAN]]+CustomerList[[#This Row],[SEMI URBAN]]+CustomerList[[#This Row],[RURAL]]</f>
        <v>3</v>
      </c>
      <c r="G46" s="58">
        <v>5</v>
      </c>
    </row>
    <row r="47" spans="1:7" ht="15" customHeight="1" x14ac:dyDescent="0.2">
      <c r="A47" s="57">
        <v>43</v>
      </c>
      <c r="B47" s="58" t="s">
        <v>73</v>
      </c>
      <c r="C47" s="58">
        <v>0</v>
      </c>
      <c r="D47" s="58">
        <v>0</v>
      </c>
      <c r="E47" s="58">
        <v>34</v>
      </c>
      <c r="F47" s="58">
        <f>CustomerList[[#This Row],[URBAN]]+CustomerList[[#This Row],[SEMI URBAN]]+CustomerList[[#This Row],[RURAL]]</f>
        <v>34</v>
      </c>
      <c r="G47" s="58">
        <v>31</v>
      </c>
    </row>
    <row r="48" spans="1:7" ht="15" customHeight="1" x14ac:dyDescent="0.2">
      <c r="A48" s="57">
        <v>44</v>
      </c>
      <c r="B48" s="58" t="s">
        <v>225</v>
      </c>
      <c r="C48" s="58">
        <v>0</v>
      </c>
      <c r="D48" s="58">
        <v>0</v>
      </c>
      <c r="E48" s="58">
        <v>4</v>
      </c>
      <c r="F48" s="58">
        <f>CustomerList[[#This Row],[URBAN]]+CustomerList[[#This Row],[SEMI URBAN]]+CustomerList[[#This Row],[RURAL]]</f>
        <v>4</v>
      </c>
      <c r="G48" s="58">
        <v>5</v>
      </c>
    </row>
    <row r="49" spans="1:7" ht="15" customHeight="1" x14ac:dyDescent="0.2">
      <c r="A49" s="57">
        <v>45</v>
      </c>
      <c r="B49" s="58" t="s">
        <v>226</v>
      </c>
      <c r="C49" s="58">
        <v>0</v>
      </c>
      <c r="D49" s="58">
        <v>0</v>
      </c>
      <c r="E49" s="58">
        <v>13</v>
      </c>
      <c r="F49" s="58">
        <f>CustomerList[[#This Row],[URBAN]]+CustomerList[[#This Row],[SEMI URBAN]]+CustomerList[[#This Row],[RURAL]]</f>
        <v>13</v>
      </c>
      <c r="G49" s="58">
        <v>13</v>
      </c>
    </row>
    <row r="50" spans="1:7" ht="15" customHeight="1" x14ac:dyDescent="0.2">
      <c r="A50" s="57">
        <v>46</v>
      </c>
      <c r="B50" s="58" t="s">
        <v>227</v>
      </c>
      <c r="C50" s="58">
        <v>0</v>
      </c>
      <c r="D50" s="58">
        <v>0</v>
      </c>
      <c r="E50" s="58">
        <v>3</v>
      </c>
      <c r="F50" s="58">
        <f>CustomerList[[#This Row],[URBAN]]+CustomerList[[#This Row],[SEMI URBAN]]+CustomerList[[#This Row],[RURAL]]</f>
        <v>3</v>
      </c>
      <c r="G50" s="58">
        <v>4</v>
      </c>
    </row>
    <row r="51" spans="1:7" ht="15" customHeight="1" x14ac:dyDescent="0.2">
      <c r="A51" s="57">
        <v>47</v>
      </c>
      <c r="B51" s="58" t="s">
        <v>77</v>
      </c>
      <c r="C51" s="58">
        <v>0</v>
      </c>
      <c r="D51" s="58">
        <v>0</v>
      </c>
      <c r="E51" s="58">
        <v>3</v>
      </c>
      <c r="F51" s="58">
        <f>CustomerList[[#This Row],[URBAN]]+CustomerList[[#This Row],[SEMI URBAN]]+CustomerList[[#This Row],[RURAL]]</f>
        <v>3</v>
      </c>
      <c r="G51" s="58">
        <v>3</v>
      </c>
    </row>
    <row r="52" spans="1:7" ht="15" customHeight="1" x14ac:dyDescent="0.2">
      <c r="A52" s="57">
        <v>48</v>
      </c>
      <c r="B52" s="58" t="s">
        <v>228</v>
      </c>
      <c r="C52" s="58">
        <v>0</v>
      </c>
      <c r="D52" s="58">
        <v>0</v>
      </c>
      <c r="E52" s="58">
        <v>3</v>
      </c>
      <c r="F52" s="58">
        <f>CustomerList[[#This Row],[URBAN]]+CustomerList[[#This Row],[SEMI URBAN]]+CustomerList[[#This Row],[RURAL]]</f>
        <v>3</v>
      </c>
      <c r="G52" s="58">
        <v>3</v>
      </c>
    </row>
    <row r="53" spans="1:7" ht="15" customHeight="1" x14ac:dyDescent="0.2">
      <c r="A53" s="57">
        <v>49</v>
      </c>
      <c r="B53" s="58" t="s">
        <v>76</v>
      </c>
      <c r="C53" s="58">
        <v>0</v>
      </c>
      <c r="D53" s="58">
        <v>0</v>
      </c>
      <c r="E53" s="58">
        <v>51</v>
      </c>
      <c r="F53" s="58">
        <f>CustomerList[[#This Row],[URBAN]]+CustomerList[[#This Row],[SEMI URBAN]]+CustomerList[[#This Row],[RURAL]]</f>
        <v>51</v>
      </c>
      <c r="G53" s="58">
        <v>22</v>
      </c>
    </row>
    <row r="54" spans="1:7" ht="15" customHeight="1" x14ac:dyDescent="0.2">
      <c r="A54" s="57"/>
      <c r="B54" s="60" t="s">
        <v>289</v>
      </c>
      <c r="C54" s="60">
        <f>SUBTOTAL(109,C32:C53)</f>
        <v>128</v>
      </c>
      <c r="D54" s="60">
        <f t="shared" ref="D54:G54" si="1">SUBTOTAL(109,D32:D53)</f>
        <v>203</v>
      </c>
      <c r="E54" s="60">
        <f t="shared" si="1"/>
        <v>412</v>
      </c>
      <c r="F54" s="60">
        <f t="shared" si="1"/>
        <v>743</v>
      </c>
      <c r="G54" s="60">
        <f t="shared" si="1"/>
        <v>1211</v>
      </c>
    </row>
    <row r="55" spans="1:7" ht="15" customHeight="1" x14ac:dyDescent="0.2">
      <c r="A55" s="57">
        <v>50</v>
      </c>
      <c r="B55" s="58" t="s">
        <v>46</v>
      </c>
      <c r="C55" s="58">
        <v>276</v>
      </c>
      <c r="D55" s="58">
        <v>135</v>
      </c>
      <c r="E55" s="58">
        <v>44</v>
      </c>
      <c r="F55" s="58">
        <f>CustomerList[[#This Row],[URBAN]]+CustomerList[[#This Row],[SEMI URBAN]]+CustomerList[[#This Row],[RURAL]]</f>
        <v>455</v>
      </c>
      <c r="G55" s="58">
        <v>0</v>
      </c>
    </row>
    <row r="56" spans="1:7" ht="15" customHeight="1" x14ac:dyDescent="0.2">
      <c r="A56" s="57">
        <v>51</v>
      </c>
      <c r="B56" s="58" t="s">
        <v>229</v>
      </c>
      <c r="C56" s="58">
        <v>330</v>
      </c>
      <c r="D56" s="58">
        <v>76</v>
      </c>
      <c r="E56" s="58">
        <v>48</v>
      </c>
      <c r="F56" s="58">
        <f>CustomerList[[#This Row],[URBAN]]+CustomerList[[#This Row],[SEMI URBAN]]+CustomerList[[#This Row],[RURAL]]</f>
        <v>454</v>
      </c>
      <c r="G56" s="58">
        <v>0</v>
      </c>
    </row>
    <row r="57" spans="1:7" ht="15" customHeight="1" x14ac:dyDescent="0.2">
      <c r="A57" s="57">
        <v>52</v>
      </c>
      <c r="B57" s="58" t="s">
        <v>52</v>
      </c>
      <c r="C57" s="58">
        <v>247</v>
      </c>
      <c r="D57" s="58">
        <v>95</v>
      </c>
      <c r="E57" s="58">
        <v>45</v>
      </c>
      <c r="F57" s="58">
        <f>CustomerList[[#This Row],[URBAN]]+CustomerList[[#This Row],[SEMI URBAN]]+CustomerList[[#This Row],[RURAL]]</f>
        <v>387</v>
      </c>
      <c r="G57" s="58">
        <v>0</v>
      </c>
    </row>
    <row r="58" spans="1:7" ht="15" customHeight="1" x14ac:dyDescent="0.2">
      <c r="A58" s="57"/>
      <c r="B58" s="60" t="s">
        <v>293</v>
      </c>
      <c r="C58" s="60">
        <f>C55+C56+C57</f>
        <v>853</v>
      </c>
      <c r="D58" s="60">
        <f t="shared" ref="D58:G58" si="2">D55+D56+D57</f>
        <v>306</v>
      </c>
      <c r="E58" s="60">
        <f t="shared" si="2"/>
        <v>137</v>
      </c>
      <c r="F58" s="60">
        <f t="shared" si="2"/>
        <v>1296</v>
      </c>
      <c r="G58" s="60">
        <f t="shared" si="2"/>
        <v>0</v>
      </c>
    </row>
    <row r="59" spans="1:7" ht="15" customHeight="1" x14ac:dyDescent="0.2">
      <c r="A59" s="57">
        <v>53</v>
      </c>
      <c r="B59" s="58" t="s">
        <v>290</v>
      </c>
      <c r="C59" s="58">
        <v>297</v>
      </c>
      <c r="D59" s="58">
        <v>470</v>
      </c>
      <c r="E59" s="58">
        <v>86</v>
      </c>
      <c r="F59" s="58">
        <f>CustomerList[[#This Row],[URBAN]]+CustomerList[[#This Row],[SEMI URBAN]]+CustomerList[[#This Row],[RURAL]]</f>
        <v>853</v>
      </c>
      <c r="G59" s="58">
        <v>0</v>
      </c>
    </row>
    <row r="60" spans="1:7" ht="15" customHeight="1" x14ac:dyDescent="0.2">
      <c r="A60" s="57"/>
      <c r="B60" s="60" t="s">
        <v>291</v>
      </c>
      <c r="C60" s="60">
        <f>C59</f>
        <v>297</v>
      </c>
      <c r="D60" s="60">
        <f t="shared" ref="D60:G60" si="3">D59</f>
        <v>470</v>
      </c>
      <c r="E60" s="60">
        <f t="shared" si="3"/>
        <v>86</v>
      </c>
      <c r="F60" s="60">
        <f t="shared" si="3"/>
        <v>853</v>
      </c>
      <c r="G60" s="60">
        <f t="shared" si="3"/>
        <v>0</v>
      </c>
    </row>
    <row r="61" spans="1:7" ht="15" customHeight="1" x14ac:dyDescent="0.2">
      <c r="A61" s="214"/>
      <c r="B61" s="60" t="s">
        <v>292</v>
      </c>
      <c r="C61" s="60">
        <f>C60+C58+C54+C31</f>
        <v>2615</v>
      </c>
      <c r="D61" s="60">
        <f t="shared" ref="D61:G61" si="4">D60+D58+D54+D31</f>
        <v>2250</v>
      </c>
      <c r="E61" s="60">
        <f t="shared" si="4"/>
        <v>2278</v>
      </c>
      <c r="F61" s="60">
        <f t="shared" si="4"/>
        <v>7143</v>
      </c>
      <c r="G61" s="60">
        <f t="shared" si="4"/>
        <v>8958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2">
    <mergeCell ref="A1:G1"/>
    <mergeCell ref="A2:G2"/>
  </mergeCells>
  <phoneticPr fontId="9" type="noConversion"/>
  <conditionalFormatting sqref="A4:A61">
    <cfRule type="duplicateValues" dxfId="224" priority="120"/>
  </conditionalFormatting>
  <conditionalFormatting sqref="B4:B61">
    <cfRule type="duplicateValues" dxfId="223" priority="121"/>
  </conditionalFormatting>
  <printOptions horizontalCentered="1"/>
  <pageMargins left="0.25" right="0.25" top="0.25" bottom="0.5" header="0.3" footer="0.3"/>
  <pageSetup scale="75" fitToHeight="0" orientation="portrait" r:id="rId1"/>
  <headerFooter>
    <oddFooter>&amp;CData Table, State Level Banker's Committee, M.P. as on 31.12.2016&amp;RPage No. 75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8"/>
  <sheetViews>
    <sheetView view="pageBreakPreview" topLeftCell="A37" zoomScale="60" zoomScaleNormal="100" workbookViewId="0">
      <selection activeCell="T48" sqref="T48"/>
    </sheetView>
  </sheetViews>
  <sheetFormatPr defaultRowHeight="13.5" x14ac:dyDescent="0.2"/>
  <cols>
    <col min="1" max="1" width="4.42578125" style="141" customWidth="1"/>
    <col min="2" max="2" width="26.5703125" style="141" customWidth="1"/>
    <col min="3" max="4" width="11.85546875" style="146" bestFit="1" customWidth="1"/>
    <col min="5" max="5" width="10.85546875" style="146" customWidth="1"/>
    <col min="6" max="6" width="10.5703125" style="146" bestFit="1" customWidth="1"/>
    <col min="7" max="7" width="9.7109375" style="147" customWidth="1"/>
    <col min="8" max="8" width="10.5703125" style="146" customWidth="1"/>
    <col min="9" max="9" width="10.85546875" style="146" customWidth="1"/>
    <col min="10" max="10" width="10.5703125" style="146" customWidth="1"/>
    <col min="11" max="11" width="9.5703125" style="146" customWidth="1"/>
    <col min="12" max="12" width="8.28515625" style="148" customWidth="1"/>
    <col min="13" max="13" width="9.140625" style="141"/>
    <col min="14" max="14" width="10" style="148" bestFit="1" customWidth="1"/>
    <col min="15" max="15" width="9.140625" style="148"/>
    <col min="16" max="16384" width="9.140625" style="141"/>
  </cols>
  <sheetData>
    <row r="1" spans="1:17" ht="15" customHeight="1" x14ac:dyDescent="0.2">
      <c r="A1" s="495" t="s">
        <v>360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</row>
    <row r="2" spans="1:17" ht="15" customHeight="1" x14ac:dyDescent="0.2">
      <c r="B2" s="143" t="s">
        <v>134</v>
      </c>
      <c r="C2" s="145"/>
      <c r="D2" s="145"/>
      <c r="I2" s="145" t="s">
        <v>165</v>
      </c>
    </row>
    <row r="3" spans="1:17" ht="15" customHeight="1" x14ac:dyDescent="0.2">
      <c r="A3" s="500" t="s">
        <v>120</v>
      </c>
      <c r="B3" s="492" t="s">
        <v>100</v>
      </c>
      <c r="C3" s="501" t="s">
        <v>43</v>
      </c>
      <c r="D3" s="501"/>
      <c r="E3" s="501"/>
      <c r="F3" s="501"/>
      <c r="G3" s="497" t="s">
        <v>158</v>
      </c>
      <c r="H3" s="496" t="s">
        <v>206</v>
      </c>
      <c r="I3" s="496"/>
      <c r="J3" s="496"/>
      <c r="K3" s="496"/>
      <c r="L3" s="497" t="s">
        <v>158</v>
      </c>
    </row>
    <row r="4" spans="1:17" ht="24.95" customHeight="1" x14ac:dyDescent="0.2">
      <c r="A4" s="500"/>
      <c r="B4" s="493"/>
      <c r="C4" s="496" t="s">
        <v>21</v>
      </c>
      <c r="D4" s="496"/>
      <c r="E4" s="496" t="s">
        <v>160</v>
      </c>
      <c r="F4" s="496"/>
      <c r="G4" s="498"/>
      <c r="H4" s="496" t="s">
        <v>21</v>
      </c>
      <c r="I4" s="496"/>
      <c r="J4" s="496" t="s">
        <v>160</v>
      </c>
      <c r="K4" s="496"/>
      <c r="L4" s="498"/>
    </row>
    <row r="5" spans="1:17" ht="15" customHeight="1" x14ac:dyDescent="0.25">
      <c r="A5" s="500"/>
      <c r="B5" s="494"/>
      <c r="C5" s="320" t="s">
        <v>124</v>
      </c>
      <c r="D5" s="320" t="s">
        <v>99</v>
      </c>
      <c r="E5" s="320" t="s">
        <v>124</v>
      </c>
      <c r="F5" s="320" t="s">
        <v>99</v>
      </c>
      <c r="G5" s="499"/>
      <c r="H5" s="320" t="s">
        <v>124</v>
      </c>
      <c r="I5" s="320" t="s">
        <v>99</v>
      </c>
      <c r="J5" s="320" t="s">
        <v>124</v>
      </c>
      <c r="K5" s="320" t="s">
        <v>99</v>
      </c>
      <c r="L5" s="499"/>
      <c r="M5" s="328"/>
      <c r="N5" s="329"/>
      <c r="O5" s="329"/>
      <c r="P5" s="330"/>
      <c r="Q5" s="330"/>
    </row>
    <row r="6" spans="1:17" ht="15" customHeight="1" x14ac:dyDescent="0.25">
      <c r="A6" s="131">
        <v>1</v>
      </c>
      <c r="B6" s="132" t="s">
        <v>55</v>
      </c>
      <c r="C6" s="88">
        <v>54074</v>
      </c>
      <c r="D6" s="88">
        <v>132297.06</v>
      </c>
      <c r="E6" s="315">
        <v>17868</v>
      </c>
      <c r="F6" s="315">
        <v>87536</v>
      </c>
      <c r="G6" s="89">
        <f>F6*100/D6</f>
        <v>66.166247382972841</v>
      </c>
      <c r="H6" s="88">
        <v>46337</v>
      </c>
      <c r="I6" s="88">
        <v>102589.04</v>
      </c>
      <c r="J6" s="315">
        <v>16578</v>
      </c>
      <c r="K6" s="315">
        <v>75486</v>
      </c>
      <c r="L6" s="133">
        <f>K6*100/I6</f>
        <v>73.580959525500973</v>
      </c>
      <c r="M6" s="330"/>
      <c r="N6" s="329"/>
      <c r="O6" s="329"/>
      <c r="P6" s="330"/>
      <c r="Q6" s="330"/>
    </row>
    <row r="7" spans="1:17" ht="15" customHeight="1" x14ac:dyDescent="0.25">
      <c r="A7" s="131">
        <v>2</v>
      </c>
      <c r="B7" s="132" t="s">
        <v>56</v>
      </c>
      <c r="C7" s="88">
        <v>1164</v>
      </c>
      <c r="D7" s="88">
        <v>3275.33</v>
      </c>
      <c r="E7" s="315">
        <v>810</v>
      </c>
      <c r="F7" s="315">
        <v>1803.11</v>
      </c>
      <c r="G7" s="89">
        <f t="shared" ref="G7:G63" si="0">F7*100/D7</f>
        <v>55.051246744602835</v>
      </c>
      <c r="H7" s="88">
        <v>998</v>
      </c>
      <c r="I7" s="88">
        <v>2539.84</v>
      </c>
      <c r="J7" s="315">
        <v>765</v>
      </c>
      <c r="K7" s="315">
        <v>1692.04</v>
      </c>
      <c r="L7" s="133">
        <f t="shared" ref="L7:L63" si="1">K7*100/I7</f>
        <v>66.619944563437059</v>
      </c>
      <c r="M7" s="330"/>
      <c r="N7" s="329"/>
      <c r="O7" s="329"/>
      <c r="P7" s="330"/>
      <c r="Q7" s="330"/>
    </row>
    <row r="8" spans="1:17" ht="15" customHeight="1" x14ac:dyDescent="0.25">
      <c r="A8" s="131">
        <v>3</v>
      </c>
      <c r="B8" s="132" t="s">
        <v>57</v>
      </c>
      <c r="C8" s="88">
        <v>36322</v>
      </c>
      <c r="D8" s="88">
        <v>110861.54</v>
      </c>
      <c r="E8" s="315">
        <v>22311</v>
      </c>
      <c r="F8" s="315">
        <v>67589</v>
      </c>
      <c r="G8" s="89">
        <f t="shared" si="0"/>
        <v>60.967040508367468</v>
      </c>
      <c r="H8" s="88">
        <v>31125</v>
      </c>
      <c r="I8" s="88">
        <v>85966.98</v>
      </c>
      <c r="J8" s="315">
        <v>21160</v>
      </c>
      <c r="K8" s="315">
        <v>50906</v>
      </c>
      <c r="L8" s="133">
        <f t="shared" si="1"/>
        <v>59.215759353184211</v>
      </c>
      <c r="M8" s="330"/>
      <c r="N8" s="329"/>
      <c r="O8" s="329"/>
      <c r="P8" s="330"/>
      <c r="Q8" s="330"/>
    </row>
    <row r="9" spans="1:17" ht="15" customHeight="1" x14ac:dyDescent="0.25">
      <c r="A9" s="131">
        <v>4</v>
      </c>
      <c r="B9" s="132" t="s">
        <v>58</v>
      </c>
      <c r="C9" s="88">
        <v>183600</v>
      </c>
      <c r="D9" s="88">
        <v>678059.37</v>
      </c>
      <c r="E9" s="315">
        <v>342657</v>
      </c>
      <c r="F9" s="315">
        <v>422605</v>
      </c>
      <c r="G9" s="89">
        <f t="shared" si="0"/>
        <v>62.325663311753956</v>
      </c>
      <c r="H9" s="88">
        <v>157330</v>
      </c>
      <c r="I9" s="88">
        <v>525797.43999999994</v>
      </c>
      <c r="J9" s="315">
        <v>573267</v>
      </c>
      <c r="K9" s="315">
        <v>352697</v>
      </c>
      <c r="L9" s="133">
        <f t="shared" si="1"/>
        <v>67.078493193120153</v>
      </c>
      <c r="M9" s="330"/>
      <c r="N9" s="329"/>
      <c r="O9" s="329"/>
      <c r="P9" s="330"/>
      <c r="Q9" s="330"/>
    </row>
    <row r="10" spans="1:17" ht="15" customHeight="1" x14ac:dyDescent="0.25">
      <c r="A10" s="131">
        <v>5</v>
      </c>
      <c r="B10" s="132" t="s">
        <v>59</v>
      </c>
      <c r="C10" s="88">
        <v>39084</v>
      </c>
      <c r="D10" s="88">
        <v>113663.74</v>
      </c>
      <c r="E10" s="315">
        <v>49467</v>
      </c>
      <c r="F10" s="315">
        <v>54563.94</v>
      </c>
      <c r="G10" s="89">
        <f t="shared" si="0"/>
        <v>48.004702291161628</v>
      </c>
      <c r="H10" s="88">
        <v>33492</v>
      </c>
      <c r="I10" s="88">
        <v>88139.94</v>
      </c>
      <c r="J10" s="315">
        <v>43051</v>
      </c>
      <c r="K10" s="315">
        <v>44279.01</v>
      </c>
      <c r="L10" s="133">
        <f t="shared" si="1"/>
        <v>50.237168303041727</v>
      </c>
      <c r="M10" s="330"/>
      <c r="N10" s="329"/>
      <c r="O10" s="329"/>
      <c r="P10" s="330"/>
      <c r="Q10" s="330"/>
    </row>
    <row r="11" spans="1:17" ht="15" customHeight="1" x14ac:dyDescent="0.25">
      <c r="A11" s="131">
        <v>6</v>
      </c>
      <c r="B11" s="90" t="s">
        <v>242</v>
      </c>
      <c r="C11" s="88">
        <v>15</v>
      </c>
      <c r="D11" s="88">
        <v>25</v>
      </c>
      <c r="E11" s="315">
        <v>1</v>
      </c>
      <c r="F11" s="315">
        <v>0.72</v>
      </c>
      <c r="G11" s="89">
        <f t="shared" si="0"/>
        <v>2.88</v>
      </c>
      <c r="H11" s="88">
        <v>0</v>
      </c>
      <c r="I11" s="88">
        <v>0</v>
      </c>
      <c r="J11" s="315">
        <v>0</v>
      </c>
      <c r="K11" s="315">
        <v>0</v>
      </c>
      <c r="L11" s="133">
        <v>0</v>
      </c>
      <c r="M11" s="330"/>
      <c r="N11" s="329"/>
      <c r="O11" s="329"/>
      <c r="P11" s="330"/>
      <c r="Q11" s="330"/>
    </row>
    <row r="12" spans="1:17" ht="15" customHeight="1" x14ac:dyDescent="0.25">
      <c r="A12" s="131">
        <v>7</v>
      </c>
      <c r="B12" s="132" t="s">
        <v>60</v>
      </c>
      <c r="C12" s="88">
        <v>21135</v>
      </c>
      <c r="D12" s="88">
        <v>56486.68</v>
      </c>
      <c r="E12" s="315">
        <v>20216</v>
      </c>
      <c r="F12" s="315">
        <v>35115</v>
      </c>
      <c r="G12" s="89">
        <f t="shared" si="0"/>
        <v>62.165098037271797</v>
      </c>
      <c r="H12" s="88">
        <v>18111</v>
      </c>
      <c r="I12" s="88">
        <v>43802.3</v>
      </c>
      <c r="J12" s="315">
        <v>18525</v>
      </c>
      <c r="K12" s="315">
        <v>25984</v>
      </c>
      <c r="L12" s="133">
        <f t="shared" si="1"/>
        <v>59.321085879052006</v>
      </c>
      <c r="M12" s="330"/>
      <c r="N12" s="329"/>
      <c r="O12" s="329"/>
      <c r="P12" s="330"/>
      <c r="Q12" s="330"/>
    </row>
    <row r="13" spans="1:17" ht="15" customHeight="1" x14ac:dyDescent="0.25">
      <c r="A13" s="131">
        <v>8</v>
      </c>
      <c r="B13" s="132" t="s">
        <v>61</v>
      </c>
      <c r="C13" s="88">
        <v>196359</v>
      </c>
      <c r="D13" s="88">
        <v>564434.85</v>
      </c>
      <c r="E13" s="315">
        <v>106914</v>
      </c>
      <c r="F13" s="315">
        <v>339986</v>
      </c>
      <c r="G13" s="89">
        <f t="shared" si="0"/>
        <v>60.234764029896454</v>
      </c>
      <c r="H13" s="88">
        <v>168264</v>
      </c>
      <c r="I13" s="88">
        <v>437687.94</v>
      </c>
      <c r="J13" s="315">
        <v>84968</v>
      </c>
      <c r="K13" s="315">
        <v>288789</v>
      </c>
      <c r="L13" s="133">
        <f t="shared" si="1"/>
        <v>65.980570540737318</v>
      </c>
      <c r="M13" s="330"/>
      <c r="N13" s="329"/>
      <c r="O13" s="329"/>
      <c r="P13" s="330"/>
      <c r="Q13" s="330"/>
    </row>
    <row r="14" spans="1:17" ht="15" customHeight="1" x14ac:dyDescent="0.25">
      <c r="A14" s="131">
        <v>9</v>
      </c>
      <c r="B14" s="132" t="s">
        <v>48</v>
      </c>
      <c r="C14" s="88">
        <v>4311</v>
      </c>
      <c r="D14" s="88">
        <v>13963.1</v>
      </c>
      <c r="E14" s="315">
        <v>3791</v>
      </c>
      <c r="F14" s="315">
        <v>9727</v>
      </c>
      <c r="G14" s="89">
        <f t="shared" si="0"/>
        <v>69.662181034297546</v>
      </c>
      <c r="H14" s="88">
        <v>3694</v>
      </c>
      <c r="I14" s="88">
        <v>10827.62</v>
      </c>
      <c r="J14" s="315">
        <v>1908</v>
      </c>
      <c r="K14" s="315">
        <v>5623</v>
      </c>
      <c r="L14" s="133">
        <f t="shared" si="1"/>
        <v>51.932003524320208</v>
      </c>
      <c r="M14" s="330"/>
      <c r="N14" s="329"/>
      <c r="O14" s="329"/>
      <c r="P14" s="330"/>
      <c r="Q14" s="330"/>
    </row>
    <row r="15" spans="1:17" ht="15" customHeight="1" x14ac:dyDescent="0.25">
      <c r="A15" s="131">
        <v>10</v>
      </c>
      <c r="B15" s="132" t="s">
        <v>49</v>
      </c>
      <c r="C15" s="88">
        <v>11344</v>
      </c>
      <c r="D15" s="88">
        <v>39277.339999999997</v>
      </c>
      <c r="E15" s="315">
        <v>3022</v>
      </c>
      <c r="F15" s="315">
        <v>7694</v>
      </c>
      <c r="G15" s="89">
        <f t="shared" si="0"/>
        <v>19.588902914504903</v>
      </c>
      <c r="H15" s="88">
        <v>9722</v>
      </c>
      <c r="I15" s="88">
        <v>30457.4</v>
      </c>
      <c r="J15" s="315">
        <v>2791</v>
      </c>
      <c r="K15" s="315">
        <v>6497</v>
      </c>
      <c r="L15" s="133">
        <f t="shared" si="1"/>
        <v>21.331433411913032</v>
      </c>
      <c r="M15" s="330"/>
      <c r="N15" s="329"/>
      <c r="O15" s="329"/>
      <c r="P15" s="330"/>
      <c r="Q15" s="330"/>
    </row>
    <row r="16" spans="1:17" ht="15" customHeight="1" x14ac:dyDescent="0.25">
      <c r="A16" s="131">
        <v>11</v>
      </c>
      <c r="B16" s="132" t="s">
        <v>81</v>
      </c>
      <c r="C16" s="88">
        <v>7630</v>
      </c>
      <c r="D16" s="88">
        <v>22892.94</v>
      </c>
      <c r="E16" s="315">
        <v>27044</v>
      </c>
      <c r="F16" s="315">
        <v>47398</v>
      </c>
      <c r="G16" s="89">
        <f t="shared" si="0"/>
        <v>207.04199635346095</v>
      </c>
      <c r="H16" s="88">
        <v>6538</v>
      </c>
      <c r="I16" s="88">
        <v>17752.2</v>
      </c>
      <c r="J16" s="315">
        <v>15407</v>
      </c>
      <c r="K16" s="315">
        <v>31936</v>
      </c>
      <c r="L16" s="133">
        <f t="shared" si="1"/>
        <v>179.89882944085804</v>
      </c>
      <c r="M16" s="330"/>
      <c r="N16" s="329"/>
      <c r="O16" s="329"/>
      <c r="P16" s="330"/>
      <c r="Q16" s="330"/>
    </row>
    <row r="17" spans="1:17" ht="15" customHeight="1" x14ac:dyDescent="0.25">
      <c r="A17" s="131">
        <v>12</v>
      </c>
      <c r="B17" s="132" t="s">
        <v>62</v>
      </c>
      <c r="C17" s="88">
        <v>3329</v>
      </c>
      <c r="D17" s="88">
        <v>11227.65</v>
      </c>
      <c r="E17" s="315">
        <v>2134</v>
      </c>
      <c r="F17" s="315">
        <v>3127</v>
      </c>
      <c r="G17" s="89">
        <f t="shared" si="0"/>
        <v>27.850885982373871</v>
      </c>
      <c r="H17" s="88">
        <v>2854</v>
      </c>
      <c r="I17" s="88">
        <v>8706.42</v>
      </c>
      <c r="J17" s="315">
        <v>1925</v>
      </c>
      <c r="K17" s="315">
        <v>3127</v>
      </c>
      <c r="L17" s="133">
        <f t="shared" si="1"/>
        <v>35.916025186012163</v>
      </c>
      <c r="M17" s="330"/>
      <c r="N17" s="329"/>
      <c r="O17" s="329"/>
      <c r="P17" s="330"/>
      <c r="Q17" s="330"/>
    </row>
    <row r="18" spans="1:17" ht="15" customHeight="1" x14ac:dyDescent="0.25">
      <c r="A18" s="131">
        <v>13</v>
      </c>
      <c r="B18" s="132" t="s">
        <v>63</v>
      </c>
      <c r="C18" s="88">
        <v>3884</v>
      </c>
      <c r="D18" s="88">
        <v>10855.43</v>
      </c>
      <c r="E18" s="315">
        <v>2431</v>
      </c>
      <c r="F18" s="315">
        <v>5601</v>
      </c>
      <c r="G18" s="89">
        <f t="shared" si="0"/>
        <v>51.596297889627586</v>
      </c>
      <c r="H18" s="88">
        <v>3328</v>
      </c>
      <c r="I18" s="88">
        <v>8417.7800000000007</v>
      </c>
      <c r="J18" s="315">
        <v>2025</v>
      </c>
      <c r="K18" s="315">
        <v>3684</v>
      </c>
      <c r="L18" s="133">
        <f t="shared" si="1"/>
        <v>43.76450798191447</v>
      </c>
      <c r="M18" s="330"/>
      <c r="N18" s="329"/>
      <c r="O18" s="329"/>
      <c r="P18" s="330"/>
      <c r="Q18" s="330"/>
    </row>
    <row r="19" spans="1:17" ht="15" customHeight="1" x14ac:dyDescent="0.25">
      <c r="A19" s="131">
        <v>14</v>
      </c>
      <c r="B19" s="91" t="s">
        <v>207</v>
      </c>
      <c r="C19" s="88">
        <v>13936</v>
      </c>
      <c r="D19" s="88">
        <v>44640.09</v>
      </c>
      <c r="E19" s="315">
        <v>5986</v>
      </c>
      <c r="F19" s="315">
        <v>20024</v>
      </c>
      <c r="G19" s="89">
        <f t="shared" si="0"/>
        <v>44.856540387799399</v>
      </c>
      <c r="H19" s="88">
        <v>11942</v>
      </c>
      <c r="I19" s="88">
        <v>34615.919999999998</v>
      </c>
      <c r="J19" s="315">
        <v>5699</v>
      </c>
      <c r="K19" s="315">
        <v>5251.79</v>
      </c>
      <c r="L19" s="133">
        <f t="shared" si="1"/>
        <v>15.171603123649467</v>
      </c>
      <c r="M19" s="330"/>
      <c r="N19" s="329"/>
      <c r="O19" s="329"/>
      <c r="P19" s="330"/>
      <c r="Q19" s="330"/>
    </row>
    <row r="20" spans="1:17" ht="15" customHeight="1" x14ac:dyDescent="0.25">
      <c r="A20" s="131">
        <v>15</v>
      </c>
      <c r="B20" s="132" t="s">
        <v>208</v>
      </c>
      <c r="C20" s="88">
        <v>6145</v>
      </c>
      <c r="D20" s="88">
        <v>20050.099999999999</v>
      </c>
      <c r="E20" s="315">
        <v>95</v>
      </c>
      <c r="F20" s="315">
        <v>142.74</v>
      </c>
      <c r="G20" s="89">
        <f t="shared" si="0"/>
        <v>0.71191664879476912</v>
      </c>
      <c r="H20" s="88">
        <v>5266</v>
      </c>
      <c r="I20" s="88">
        <v>15547.74</v>
      </c>
      <c r="J20" s="315">
        <v>80</v>
      </c>
      <c r="K20" s="315">
        <v>116.09</v>
      </c>
      <c r="L20" s="133">
        <f t="shared" si="1"/>
        <v>0.74666800448168036</v>
      </c>
      <c r="M20" s="330"/>
      <c r="N20" s="329"/>
      <c r="O20" s="329"/>
      <c r="P20" s="330"/>
      <c r="Q20" s="330"/>
    </row>
    <row r="21" spans="1:17" ht="15" customHeight="1" x14ac:dyDescent="0.25">
      <c r="A21" s="131">
        <v>16</v>
      </c>
      <c r="B21" s="132" t="s">
        <v>64</v>
      </c>
      <c r="C21" s="88">
        <v>78576</v>
      </c>
      <c r="D21" s="88">
        <v>254603.81</v>
      </c>
      <c r="E21" s="315">
        <v>82175</v>
      </c>
      <c r="F21" s="315">
        <v>198598</v>
      </c>
      <c r="G21" s="89">
        <f t="shared" si="0"/>
        <v>78.002760445729393</v>
      </c>
      <c r="H21" s="88">
        <v>67334</v>
      </c>
      <c r="I21" s="88">
        <v>197431.14</v>
      </c>
      <c r="J21" s="315">
        <v>72028</v>
      </c>
      <c r="K21" s="315">
        <v>130901</v>
      </c>
      <c r="L21" s="133">
        <f t="shared" si="1"/>
        <v>66.302104115895801</v>
      </c>
      <c r="M21" s="330"/>
      <c r="N21" s="329"/>
      <c r="O21" s="329"/>
      <c r="P21" s="330"/>
      <c r="Q21" s="330"/>
    </row>
    <row r="22" spans="1:17" ht="15" customHeight="1" x14ac:dyDescent="0.25">
      <c r="A22" s="131">
        <v>17</v>
      </c>
      <c r="B22" s="132" t="s">
        <v>69</v>
      </c>
      <c r="C22" s="88">
        <v>65</v>
      </c>
      <c r="D22" s="88">
        <v>223.17</v>
      </c>
      <c r="E22" s="315">
        <v>0</v>
      </c>
      <c r="F22" s="315">
        <v>0</v>
      </c>
      <c r="G22" s="89">
        <f t="shared" si="0"/>
        <v>0</v>
      </c>
      <c r="H22" s="88">
        <v>56</v>
      </c>
      <c r="I22" s="88">
        <v>173.06</v>
      </c>
      <c r="J22" s="315">
        <v>0</v>
      </c>
      <c r="K22" s="315">
        <v>0</v>
      </c>
      <c r="L22" s="133">
        <f t="shared" si="1"/>
        <v>0</v>
      </c>
      <c r="M22" s="330"/>
      <c r="N22" s="329"/>
      <c r="O22" s="329"/>
      <c r="P22" s="330"/>
      <c r="Q22" s="330"/>
    </row>
    <row r="23" spans="1:17" ht="15" customHeight="1" x14ac:dyDescent="0.25">
      <c r="A23" s="131">
        <v>18</v>
      </c>
      <c r="B23" s="132" t="s">
        <v>209</v>
      </c>
      <c r="C23" s="88">
        <v>28</v>
      </c>
      <c r="D23" s="88">
        <v>126.06</v>
      </c>
      <c r="E23" s="315">
        <v>0</v>
      </c>
      <c r="F23" s="315">
        <v>0</v>
      </c>
      <c r="G23" s="89">
        <f t="shared" si="0"/>
        <v>0</v>
      </c>
      <c r="H23" s="88">
        <v>24</v>
      </c>
      <c r="I23" s="88">
        <v>97.76</v>
      </c>
      <c r="J23" s="315">
        <v>0</v>
      </c>
      <c r="K23" s="315">
        <v>0</v>
      </c>
      <c r="L23" s="133">
        <f t="shared" si="1"/>
        <v>0</v>
      </c>
      <c r="M23" s="330"/>
      <c r="N23" s="329"/>
      <c r="O23" s="329"/>
      <c r="P23" s="330"/>
      <c r="Q23" s="330"/>
    </row>
    <row r="24" spans="1:17" ht="15" customHeight="1" x14ac:dyDescent="0.25">
      <c r="A24" s="131">
        <v>19</v>
      </c>
      <c r="B24" s="132" t="s">
        <v>210</v>
      </c>
      <c r="C24" s="94">
        <v>321</v>
      </c>
      <c r="D24" s="94">
        <v>638.35</v>
      </c>
      <c r="E24" s="315">
        <v>0</v>
      </c>
      <c r="F24" s="315">
        <v>0</v>
      </c>
      <c r="G24" s="89">
        <f t="shared" si="0"/>
        <v>0</v>
      </c>
      <c r="H24" s="94">
        <v>275</v>
      </c>
      <c r="I24" s="94">
        <v>495</v>
      </c>
      <c r="J24" s="315">
        <v>0</v>
      </c>
      <c r="K24" s="315">
        <v>0</v>
      </c>
      <c r="L24" s="133">
        <f t="shared" si="1"/>
        <v>0</v>
      </c>
      <c r="M24" s="330"/>
      <c r="N24" s="329"/>
      <c r="O24" s="329"/>
      <c r="P24" s="330"/>
      <c r="Q24" s="330"/>
    </row>
    <row r="25" spans="1:17" ht="15" customHeight="1" x14ac:dyDescent="0.25">
      <c r="A25" s="131">
        <v>20</v>
      </c>
      <c r="B25" s="90" t="s">
        <v>211</v>
      </c>
      <c r="C25" s="88">
        <v>125</v>
      </c>
      <c r="D25" s="88">
        <v>435.81</v>
      </c>
      <c r="E25" s="315">
        <v>0</v>
      </c>
      <c r="F25" s="315">
        <v>0</v>
      </c>
      <c r="G25" s="89">
        <f t="shared" si="0"/>
        <v>0</v>
      </c>
      <c r="H25" s="88">
        <v>107</v>
      </c>
      <c r="I25" s="88">
        <v>337.95</v>
      </c>
      <c r="J25" s="315">
        <v>0</v>
      </c>
      <c r="K25" s="315">
        <v>0</v>
      </c>
      <c r="L25" s="133">
        <f t="shared" si="1"/>
        <v>0</v>
      </c>
      <c r="M25" s="330"/>
      <c r="N25" s="329"/>
      <c r="O25" s="329"/>
      <c r="P25" s="330"/>
      <c r="Q25" s="330"/>
    </row>
    <row r="26" spans="1:17" ht="15" customHeight="1" x14ac:dyDescent="0.25">
      <c r="A26" s="131">
        <v>21</v>
      </c>
      <c r="B26" s="132" t="s">
        <v>212</v>
      </c>
      <c r="C26" s="88">
        <v>759</v>
      </c>
      <c r="D26" s="88">
        <v>2920.9</v>
      </c>
      <c r="E26" s="315">
        <v>296</v>
      </c>
      <c r="F26" s="315">
        <v>249</v>
      </c>
      <c r="G26" s="89">
        <f t="shared" si="0"/>
        <v>8.5247697627443593</v>
      </c>
      <c r="H26" s="88">
        <v>650</v>
      </c>
      <c r="I26" s="88">
        <v>2264.98</v>
      </c>
      <c r="J26" s="111">
        <v>222</v>
      </c>
      <c r="K26" s="111">
        <v>154</v>
      </c>
      <c r="L26" s="133">
        <f t="shared" si="1"/>
        <v>6.7991770346758029</v>
      </c>
      <c r="M26" s="330"/>
      <c r="N26" s="329"/>
      <c r="O26" s="329"/>
      <c r="P26" s="330"/>
      <c r="Q26" s="330"/>
    </row>
    <row r="27" spans="1:17" ht="15" customHeight="1" x14ac:dyDescent="0.25">
      <c r="A27" s="131">
        <v>22</v>
      </c>
      <c r="B27" s="132" t="s">
        <v>70</v>
      </c>
      <c r="C27" s="94">
        <v>579118</v>
      </c>
      <c r="D27" s="94">
        <f>1846958-714.54</f>
        <v>1846243.46</v>
      </c>
      <c r="E27" s="316">
        <v>376007</v>
      </c>
      <c r="F27" s="316">
        <v>754875</v>
      </c>
      <c r="G27" s="89">
        <f t="shared" si="0"/>
        <v>40.887077807170677</v>
      </c>
      <c r="H27" s="94">
        <v>496258</v>
      </c>
      <c r="I27" s="94">
        <v>1432213.84</v>
      </c>
      <c r="J27" s="316">
        <v>319120</v>
      </c>
      <c r="K27" s="316">
        <v>678841</v>
      </c>
      <c r="L27" s="133">
        <f t="shared" si="1"/>
        <v>47.398019837596316</v>
      </c>
      <c r="M27" s="330"/>
      <c r="N27" s="329"/>
      <c r="O27" s="329"/>
      <c r="P27" s="330"/>
      <c r="Q27" s="330"/>
    </row>
    <row r="28" spans="1:17" ht="15" customHeight="1" x14ac:dyDescent="0.25">
      <c r="A28" s="131">
        <v>23</v>
      </c>
      <c r="B28" s="91" t="s">
        <v>65</v>
      </c>
      <c r="C28" s="88">
        <v>15374</v>
      </c>
      <c r="D28" s="88">
        <v>39813.050000000003</v>
      </c>
      <c r="E28" s="315">
        <v>8587</v>
      </c>
      <c r="F28" s="315">
        <v>12171</v>
      </c>
      <c r="G28" s="89">
        <f t="shared" si="0"/>
        <v>30.570378305605821</v>
      </c>
      <c r="H28" s="88">
        <v>13174</v>
      </c>
      <c r="I28" s="88">
        <v>30872.82</v>
      </c>
      <c r="J28" s="315">
        <v>6757</v>
      </c>
      <c r="K28" s="315">
        <v>9343</v>
      </c>
      <c r="L28" s="133">
        <f t="shared" si="1"/>
        <v>30.262865523784352</v>
      </c>
      <c r="M28" s="330"/>
      <c r="N28" s="329"/>
      <c r="O28" s="329"/>
      <c r="P28" s="330"/>
      <c r="Q28" s="330"/>
    </row>
    <row r="29" spans="1:17" ht="15" customHeight="1" x14ac:dyDescent="0.25">
      <c r="A29" s="131">
        <v>24</v>
      </c>
      <c r="B29" s="58" t="s">
        <v>213</v>
      </c>
      <c r="C29" s="88">
        <v>41458</v>
      </c>
      <c r="D29" s="88">
        <v>131290.79999999999</v>
      </c>
      <c r="E29" s="315">
        <v>2646</v>
      </c>
      <c r="F29" s="315">
        <v>6368</v>
      </c>
      <c r="G29" s="89">
        <f t="shared" si="0"/>
        <v>4.8503017728584181</v>
      </c>
      <c r="H29" s="88">
        <v>35526</v>
      </c>
      <c r="I29" s="88">
        <v>101808.74</v>
      </c>
      <c r="J29" s="315">
        <v>2623</v>
      </c>
      <c r="K29" s="315">
        <v>6255</v>
      </c>
      <c r="L29" s="133">
        <f t="shared" si="1"/>
        <v>6.143873305965676</v>
      </c>
      <c r="M29" s="330"/>
      <c r="N29" s="329"/>
      <c r="O29" s="329"/>
      <c r="P29" s="330"/>
      <c r="Q29" s="330"/>
    </row>
    <row r="30" spans="1:17" ht="15" customHeight="1" x14ac:dyDescent="0.25">
      <c r="A30" s="131">
        <v>25</v>
      </c>
      <c r="B30" s="92" t="s">
        <v>66</v>
      </c>
      <c r="C30" s="88">
        <v>88914</v>
      </c>
      <c r="D30" s="88">
        <v>210100.66</v>
      </c>
      <c r="E30" s="315">
        <v>36988</v>
      </c>
      <c r="F30" s="315">
        <v>143541</v>
      </c>
      <c r="G30" s="89">
        <f t="shared" si="0"/>
        <v>68.320109037258618</v>
      </c>
      <c r="H30" s="88">
        <v>76192</v>
      </c>
      <c r="I30" s="88">
        <v>162921.41</v>
      </c>
      <c r="J30" s="315">
        <v>33253</v>
      </c>
      <c r="K30" s="315">
        <v>119128</v>
      </c>
      <c r="L30" s="133">
        <f t="shared" si="1"/>
        <v>73.119917142872751</v>
      </c>
      <c r="M30" s="330"/>
      <c r="N30" s="329"/>
      <c r="O30" s="329"/>
      <c r="P30" s="330"/>
      <c r="Q30" s="330"/>
    </row>
    <row r="31" spans="1:17" ht="15" x14ac:dyDescent="0.25">
      <c r="A31" s="131">
        <v>26</v>
      </c>
      <c r="B31" s="132" t="s">
        <v>67</v>
      </c>
      <c r="C31" s="88">
        <v>1018</v>
      </c>
      <c r="D31" s="88">
        <v>2703.56</v>
      </c>
      <c r="E31" s="315">
        <v>35</v>
      </c>
      <c r="F31" s="315">
        <v>12</v>
      </c>
      <c r="G31" s="89">
        <f t="shared" si="0"/>
        <v>0.44385920785926702</v>
      </c>
      <c r="H31" s="88">
        <v>872</v>
      </c>
      <c r="I31" s="88">
        <v>2096.46</v>
      </c>
      <c r="J31" s="315">
        <v>28</v>
      </c>
      <c r="K31" s="315">
        <v>119</v>
      </c>
      <c r="L31" s="133">
        <f t="shared" si="1"/>
        <v>5.6762351773942736</v>
      </c>
      <c r="M31" s="330"/>
      <c r="N31" s="329"/>
      <c r="O31" s="329"/>
      <c r="P31" s="330"/>
      <c r="Q31" s="330"/>
    </row>
    <row r="32" spans="1:17" ht="15" customHeight="1" x14ac:dyDescent="0.25">
      <c r="A32" s="131">
        <v>27</v>
      </c>
      <c r="B32" s="132" t="s">
        <v>50</v>
      </c>
      <c r="C32" s="88">
        <v>4166</v>
      </c>
      <c r="D32" s="88">
        <v>13146.41</v>
      </c>
      <c r="E32" s="315">
        <v>3500</v>
      </c>
      <c r="F32" s="315">
        <v>4278</v>
      </c>
      <c r="G32" s="89">
        <f t="shared" si="0"/>
        <v>32.541203263856822</v>
      </c>
      <c r="H32" s="88">
        <v>3570</v>
      </c>
      <c r="I32" s="88">
        <v>10194.32</v>
      </c>
      <c r="J32" s="315">
        <v>3252</v>
      </c>
      <c r="K32" s="315">
        <v>4124</v>
      </c>
      <c r="L32" s="133">
        <f t="shared" si="1"/>
        <v>40.453899818722583</v>
      </c>
      <c r="M32" s="330"/>
      <c r="N32" s="329"/>
      <c r="O32" s="329"/>
      <c r="P32" s="330"/>
      <c r="Q32" s="330"/>
    </row>
    <row r="33" spans="1:18" s="143" customFormat="1" ht="15" customHeight="1" x14ac:dyDescent="0.25">
      <c r="A33" s="319"/>
      <c r="B33" s="134" t="s">
        <v>214</v>
      </c>
      <c r="C33" s="93">
        <f>SUM(C6:C32)</f>
        <v>1392254</v>
      </c>
      <c r="D33" s="93">
        <f t="shared" ref="D33:K33" si="2">SUM(D6:D32)</f>
        <v>4324256.26</v>
      </c>
      <c r="E33" s="93">
        <f t="shared" si="2"/>
        <v>1114981</v>
      </c>
      <c r="F33" s="93">
        <f t="shared" si="2"/>
        <v>2223004.5099999998</v>
      </c>
      <c r="G33" s="89">
        <f t="shared" si="0"/>
        <v>51.407788445914164</v>
      </c>
      <c r="H33" s="93">
        <f t="shared" si="2"/>
        <v>1193039</v>
      </c>
      <c r="I33" s="93">
        <f t="shared" si="2"/>
        <v>3353756.04</v>
      </c>
      <c r="J33" s="93">
        <f t="shared" si="2"/>
        <v>1225432</v>
      </c>
      <c r="K33" s="93">
        <f t="shared" si="2"/>
        <v>1844932.93</v>
      </c>
      <c r="L33" s="133">
        <f t="shared" si="1"/>
        <v>55.010946174844605</v>
      </c>
      <c r="M33" s="330"/>
      <c r="N33" s="329"/>
      <c r="O33" s="329"/>
    </row>
    <row r="34" spans="1:18" ht="15" customHeight="1" x14ac:dyDescent="0.25">
      <c r="A34" s="131">
        <v>28</v>
      </c>
      <c r="B34" s="132" t="s">
        <v>47</v>
      </c>
      <c r="C34" s="88">
        <v>22872</v>
      </c>
      <c r="D34" s="88">
        <v>65152.83</v>
      </c>
      <c r="E34" s="88">
        <v>92588</v>
      </c>
      <c r="F34" s="88">
        <v>34538</v>
      </c>
      <c r="G34" s="89">
        <f t="shared" si="0"/>
        <v>53.010744122703493</v>
      </c>
      <c r="H34" s="88">
        <v>19599</v>
      </c>
      <c r="I34" s="88">
        <v>50522.400000000001</v>
      </c>
      <c r="J34" s="88">
        <v>1053</v>
      </c>
      <c r="K34" s="88">
        <f>22626-597</f>
        <v>22029</v>
      </c>
      <c r="L34" s="133">
        <f t="shared" si="1"/>
        <v>43.602441689230915</v>
      </c>
      <c r="M34" s="330"/>
      <c r="N34" s="329"/>
      <c r="O34" s="329"/>
    </row>
    <row r="35" spans="1:18" ht="15" customHeight="1" x14ac:dyDescent="0.25">
      <c r="A35" s="131">
        <v>29</v>
      </c>
      <c r="B35" s="132" t="s">
        <v>215</v>
      </c>
      <c r="C35" s="88">
        <v>695</v>
      </c>
      <c r="D35" s="88">
        <v>516.98</v>
      </c>
      <c r="E35" s="88">
        <v>0</v>
      </c>
      <c r="F35" s="88">
        <v>0</v>
      </c>
      <c r="G35" s="89">
        <f t="shared" si="0"/>
        <v>0</v>
      </c>
      <c r="H35" s="88">
        <v>652</v>
      </c>
      <c r="I35" s="88">
        <v>387.1</v>
      </c>
      <c r="J35" s="88">
        <v>0</v>
      </c>
      <c r="K35" s="88">
        <v>0</v>
      </c>
      <c r="L35" s="133">
        <f t="shared" si="1"/>
        <v>0</v>
      </c>
      <c r="M35" s="330"/>
      <c r="N35" s="329"/>
      <c r="O35" s="329"/>
    </row>
    <row r="36" spans="1:18" ht="15" customHeight="1" x14ac:dyDescent="0.25">
      <c r="A36" s="131">
        <v>30</v>
      </c>
      <c r="B36" s="99" t="s">
        <v>216</v>
      </c>
      <c r="C36" s="88">
        <v>0</v>
      </c>
      <c r="D36" s="88">
        <v>0</v>
      </c>
      <c r="E36" s="88">
        <v>0</v>
      </c>
      <c r="F36" s="88">
        <v>0</v>
      </c>
      <c r="G36" s="89">
        <v>0</v>
      </c>
      <c r="H36" s="88">
        <v>0</v>
      </c>
      <c r="I36" s="88">
        <v>0</v>
      </c>
      <c r="J36" s="88">
        <v>0</v>
      </c>
      <c r="K36" s="88">
        <v>0</v>
      </c>
      <c r="L36" s="133">
        <v>0</v>
      </c>
      <c r="M36" s="330"/>
      <c r="N36" s="329"/>
      <c r="O36" s="329"/>
    </row>
    <row r="37" spans="1:18" ht="15" customHeight="1" x14ac:dyDescent="0.25">
      <c r="A37" s="131">
        <v>31</v>
      </c>
      <c r="B37" s="99" t="s">
        <v>78</v>
      </c>
      <c r="C37" s="88">
        <v>0</v>
      </c>
      <c r="D37" s="88">
        <v>0</v>
      </c>
      <c r="E37" s="88">
        <v>0</v>
      </c>
      <c r="F37" s="88">
        <v>0</v>
      </c>
      <c r="G37" s="89">
        <v>0</v>
      </c>
      <c r="H37" s="88">
        <v>0</v>
      </c>
      <c r="I37" s="88">
        <v>0</v>
      </c>
      <c r="J37" s="88">
        <v>0</v>
      </c>
      <c r="K37" s="88">
        <v>0</v>
      </c>
      <c r="L37" s="133">
        <v>0</v>
      </c>
      <c r="M37" s="330"/>
      <c r="N37" s="329"/>
      <c r="O37" s="329"/>
    </row>
    <row r="38" spans="1:18" ht="15" customHeight="1" x14ac:dyDescent="0.25">
      <c r="A38" s="131">
        <v>32</v>
      </c>
      <c r="B38" s="132" t="s">
        <v>51</v>
      </c>
      <c r="C38" s="88">
        <v>0</v>
      </c>
      <c r="D38" s="88">
        <v>0</v>
      </c>
      <c r="E38" s="88">
        <v>0</v>
      </c>
      <c r="F38" s="88">
        <v>0</v>
      </c>
      <c r="G38" s="89">
        <v>0</v>
      </c>
      <c r="H38" s="88">
        <v>0</v>
      </c>
      <c r="I38" s="88">
        <v>0</v>
      </c>
      <c r="J38" s="88">
        <v>0</v>
      </c>
      <c r="K38" s="88">
        <v>0</v>
      </c>
      <c r="L38" s="133">
        <v>0</v>
      </c>
      <c r="M38" s="330"/>
      <c r="N38" s="329"/>
      <c r="O38" s="329"/>
    </row>
    <row r="39" spans="1:18" ht="15" customHeight="1" x14ac:dyDescent="0.25">
      <c r="A39" s="131">
        <v>33</v>
      </c>
      <c r="B39" s="132" t="s">
        <v>217</v>
      </c>
      <c r="C39" s="88">
        <v>401</v>
      </c>
      <c r="D39" s="88">
        <v>873.08</v>
      </c>
      <c r="E39" s="88">
        <v>0</v>
      </c>
      <c r="F39" s="88">
        <v>0</v>
      </c>
      <c r="G39" s="89">
        <f t="shared" si="0"/>
        <v>0</v>
      </c>
      <c r="H39" s="88">
        <v>344</v>
      </c>
      <c r="I39" s="88">
        <v>677.02</v>
      </c>
      <c r="J39" s="88">
        <v>0</v>
      </c>
      <c r="K39" s="88">
        <v>0</v>
      </c>
      <c r="L39" s="133">
        <f t="shared" si="1"/>
        <v>0</v>
      </c>
      <c r="M39" s="330"/>
      <c r="N39" s="329"/>
      <c r="O39" s="329"/>
    </row>
    <row r="40" spans="1:18" ht="15" customHeight="1" x14ac:dyDescent="0.25">
      <c r="A40" s="131">
        <v>34</v>
      </c>
      <c r="B40" s="117" t="s">
        <v>218</v>
      </c>
      <c r="C40" s="88">
        <v>28</v>
      </c>
      <c r="D40" s="88">
        <v>126.06</v>
      </c>
      <c r="E40" s="88">
        <v>0</v>
      </c>
      <c r="F40" s="88">
        <v>0</v>
      </c>
      <c r="G40" s="89">
        <f t="shared" si="0"/>
        <v>0</v>
      </c>
      <c r="H40" s="88">
        <v>24</v>
      </c>
      <c r="I40" s="88">
        <v>97.75</v>
      </c>
      <c r="J40" s="88">
        <v>0</v>
      </c>
      <c r="K40" s="88">
        <v>0</v>
      </c>
      <c r="L40" s="133">
        <f t="shared" si="1"/>
        <v>0</v>
      </c>
      <c r="M40" s="330"/>
      <c r="N40" s="329"/>
      <c r="O40" s="329"/>
      <c r="P40" s="330"/>
      <c r="Q40" s="330"/>
      <c r="R40" s="330"/>
    </row>
    <row r="41" spans="1:18" ht="15" customHeight="1" x14ac:dyDescent="0.25">
      <c r="A41" s="131">
        <v>35</v>
      </c>
      <c r="B41" s="117" t="s">
        <v>219</v>
      </c>
      <c r="C41" s="88">
        <v>672</v>
      </c>
      <c r="D41" s="88">
        <v>2736.89</v>
      </c>
      <c r="E41" s="88">
        <v>1506</v>
      </c>
      <c r="F41" s="88">
        <v>2422.37</v>
      </c>
      <c r="G41" s="89">
        <f t="shared" si="0"/>
        <v>88.508124184749846</v>
      </c>
      <c r="H41" s="88">
        <v>576</v>
      </c>
      <c r="I41" s="88">
        <v>2122.3200000000002</v>
      </c>
      <c r="J41" s="88">
        <v>1451</v>
      </c>
      <c r="K41" s="88">
        <v>2126.31</v>
      </c>
      <c r="L41" s="133">
        <f t="shared" si="1"/>
        <v>100.18800180934072</v>
      </c>
      <c r="M41" s="330"/>
      <c r="N41" s="329"/>
      <c r="O41" s="329"/>
      <c r="P41" s="330"/>
      <c r="Q41" s="330"/>
      <c r="R41" s="330"/>
    </row>
    <row r="42" spans="1:18" ht="15" customHeight="1" x14ac:dyDescent="0.25">
      <c r="A42" s="131">
        <v>36</v>
      </c>
      <c r="B42" s="117" t="s">
        <v>71</v>
      </c>
      <c r="C42" s="88">
        <v>29526</v>
      </c>
      <c r="D42" s="88">
        <v>110428.58</v>
      </c>
      <c r="E42" s="88">
        <v>38561</v>
      </c>
      <c r="F42" s="88">
        <v>132215</v>
      </c>
      <c r="G42" s="89">
        <f t="shared" si="0"/>
        <v>119.72896871443969</v>
      </c>
      <c r="H42" s="88">
        <v>25301</v>
      </c>
      <c r="I42" s="88">
        <v>85631.24</v>
      </c>
      <c r="J42" s="88">
        <v>15990</v>
      </c>
      <c r="K42" s="88">
        <v>81420</v>
      </c>
      <c r="L42" s="133">
        <f t="shared" si="1"/>
        <v>95.082121898503388</v>
      </c>
      <c r="M42" s="330"/>
      <c r="N42" s="329"/>
      <c r="O42" s="329"/>
      <c r="P42" s="330"/>
      <c r="Q42" s="330"/>
      <c r="R42" s="330"/>
    </row>
    <row r="43" spans="1:18" ht="15" customHeight="1" x14ac:dyDescent="0.25">
      <c r="A43" s="131">
        <v>37</v>
      </c>
      <c r="B43" s="117" t="s">
        <v>72</v>
      </c>
      <c r="C43" s="88">
        <v>30885</v>
      </c>
      <c r="D43" s="88">
        <v>105493.41</v>
      </c>
      <c r="E43" s="88">
        <v>78043</v>
      </c>
      <c r="F43" s="88">
        <v>157761</v>
      </c>
      <c r="G43" s="89">
        <f t="shared" si="0"/>
        <v>149.54583419002191</v>
      </c>
      <c r="H43" s="88">
        <v>26466</v>
      </c>
      <c r="I43" s="88">
        <v>81804.3</v>
      </c>
      <c r="J43" s="88">
        <v>48551</v>
      </c>
      <c r="K43" s="88">
        <v>114754</v>
      </c>
      <c r="L43" s="133">
        <f t="shared" si="1"/>
        <v>140.27868950654184</v>
      </c>
      <c r="M43" s="330"/>
      <c r="N43" s="329"/>
      <c r="O43" s="329"/>
    </row>
    <row r="44" spans="1:18" ht="15" customHeight="1" x14ac:dyDescent="0.25">
      <c r="A44" s="131">
        <v>38</v>
      </c>
      <c r="B44" s="117" t="s">
        <v>220</v>
      </c>
      <c r="C44" s="88">
        <v>0</v>
      </c>
      <c r="D44" s="88">
        <v>0</v>
      </c>
      <c r="E44" s="88">
        <v>53924</v>
      </c>
      <c r="F44" s="88">
        <v>2316</v>
      </c>
      <c r="G44" s="89">
        <v>0</v>
      </c>
      <c r="H44" s="88">
        <v>0</v>
      </c>
      <c r="I44" s="88">
        <v>0</v>
      </c>
      <c r="J44" s="88">
        <v>0</v>
      </c>
      <c r="K44" s="88">
        <v>0</v>
      </c>
      <c r="L44" s="133">
        <v>0</v>
      </c>
      <c r="M44" s="330"/>
      <c r="N44" s="329"/>
      <c r="O44" s="329"/>
    </row>
    <row r="45" spans="1:18" ht="15" customHeight="1" x14ac:dyDescent="0.25">
      <c r="A45" s="131">
        <v>39</v>
      </c>
      <c r="B45" s="117" t="s">
        <v>221</v>
      </c>
      <c r="C45" s="88">
        <v>2517</v>
      </c>
      <c r="D45" s="88">
        <v>5912.73</v>
      </c>
      <c r="E45" s="88">
        <v>8136</v>
      </c>
      <c r="F45" s="88">
        <v>16296</v>
      </c>
      <c r="G45" s="89">
        <f t="shared" si="0"/>
        <v>275.60872896276339</v>
      </c>
      <c r="H45" s="88">
        <v>2157</v>
      </c>
      <c r="I45" s="88">
        <v>4585</v>
      </c>
      <c r="J45" s="88">
        <v>0</v>
      </c>
      <c r="K45" s="88">
        <v>0</v>
      </c>
      <c r="L45" s="133">
        <f t="shared" si="1"/>
        <v>0</v>
      </c>
      <c r="M45" s="330"/>
      <c r="N45" s="329"/>
      <c r="O45" s="329"/>
    </row>
    <row r="46" spans="1:18" ht="15" customHeight="1" x14ac:dyDescent="0.25">
      <c r="A46" s="131">
        <v>40</v>
      </c>
      <c r="B46" s="117" t="s">
        <v>222</v>
      </c>
      <c r="C46" s="88">
        <v>74</v>
      </c>
      <c r="D46" s="88">
        <v>319.68</v>
      </c>
      <c r="E46" s="88">
        <v>0</v>
      </c>
      <c r="F46" s="88">
        <v>0</v>
      </c>
      <c r="G46" s="89">
        <f t="shared" si="0"/>
        <v>0</v>
      </c>
      <c r="H46" s="88">
        <v>63</v>
      </c>
      <c r="I46" s="88">
        <v>247.9</v>
      </c>
      <c r="J46" s="88">
        <v>0</v>
      </c>
      <c r="K46" s="88">
        <v>0</v>
      </c>
      <c r="L46" s="133">
        <f t="shared" si="1"/>
        <v>0</v>
      </c>
      <c r="M46" s="330"/>
      <c r="N46" s="329"/>
      <c r="O46" s="329"/>
    </row>
    <row r="47" spans="1:18" ht="15" customHeight="1" x14ac:dyDescent="0.25">
      <c r="A47" s="131">
        <v>41</v>
      </c>
      <c r="B47" s="117" t="s">
        <v>223</v>
      </c>
      <c r="C47" s="88">
        <v>384</v>
      </c>
      <c r="D47" s="88">
        <v>1107.02</v>
      </c>
      <c r="E47" s="88">
        <v>20</v>
      </c>
      <c r="F47" s="88">
        <v>357.12</v>
      </c>
      <c r="G47" s="89">
        <f t="shared" si="0"/>
        <v>32.259579772723164</v>
      </c>
      <c r="H47" s="88">
        <v>329</v>
      </c>
      <c r="I47" s="88">
        <v>858.44</v>
      </c>
      <c r="J47" s="88">
        <v>1</v>
      </c>
      <c r="K47" s="88">
        <v>1</v>
      </c>
      <c r="L47" s="133">
        <f t="shared" si="1"/>
        <v>0.11649037789478588</v>
      </c>
      <c r="M47" s="330"/>
      <c r="N47" s="329"/>
      <c r="O47" s="329"/>
    </row>
    <row r="48" spans="1:18" ht="15" customHeight="1" x14ac:dyDescent="0.25">
      <c r="A48" s="131">
        <v>42</v>
      </c>
      <c r="B48" s="117" t="s">
        <v>224</v>
      </c>
      <c r="C48" s="88">
        <v>0</v>
      </c>
      <c r="D48" s="88">
        <v>0</v>
      </c>
      <c r="E48" s="88">
        <v>0</v>
      </c>
      <c r="F48" s="88">
        <v>0</v>
      </c>
      <c r="G48" s="89">
        <v>0</v>
      </c>
      <c r="H48" s="88">
        <v>0</v>
      </c>
      <c r="I48" s="88">
        <v>0</v>
      </c>
      <c r="J48" s="88">
        <v>0</v>
      </c>
      <c r="K48" s="88">
        <v>0</v>
      </c>
      <c r="L48" s="133">
        <v>0</v>
      </c>
      <c r="M48" s="330"/>
      <c r="N48" s="329"/>
      <c r="O48" s="329"/>
    </row>
    <row r="49" spans="1:15" ht="15" customHeight="1" x14ac:dyDescent="0.25">
      <c r="A49" s="131">
        <v>43</v>
      </c>
      <c r="B49" s="123" t="s">
        <v>73</v>
      </c>
      <c r="C49" s="88">
        <v>4802</v>
      </c>
      <c r="D49" s="88">
        <v>19800.97</v>
      </c>
      <c r="E49" s="88">
        <v>12936</v>
      </c>
      <c r="F49" s="88">
        <v>20944</v>
      </c>
      <c r="G49" s="89">
        <f t="shared" si="0"/>
        <v>105.77259598898438</v>
      </c>
      <c r="H49" s="88">
        <v>4115</v>
      </c>
      <c r="I49" s="88">
        <v>15354.56</v>
      </c>
      <c r="J49" s="88">
        <v>342</v>
      </c>
      <c r="K49" s="88">
        <v>315</v>
      </c>
      <c r="L49" s="133">
        <f t="shared" si="1"/>
        <v>2.0515078256882648</v>
      </c>
      <c r="M49" s="330"/>
      <c r="N49" s="329"/>
      <c r="O49" s="329"/>
    </row>
    <row r="50" spans="1:15" ht="15" customHeight="1" x14ac:dyDescent="0.25">
      <c r="A50" s="131">
        <v>44</v>
      </c>
      <c r="B50" s="117" t="s">
        <v>225</v>
      </c>
      <c r="C50" s="88">
        <v>0</v>
      </c>
      <c r="D50" s="88">
        <v>0</v>
      </c>
      <c r="E50" s="88">
        <v>0</v>
      </c>
      <c r="F50" s="88">
        <v>0</v>
      </c>
      <c r="G50" s="89">
        <v>0</v>
      </c>
      <c r="H50" s="88">
        <v>0</v>
      </c>
      <c r="I50" s="88">
        <v>0</v>
      </c>
      <c r="J50" s="88">
        <v>0</v>
      </c>
      <c r="K50" s="88">
        <v>0</v>
      </c>
      <c r="L50" s="133">
        <v>0</v>
      </c>
      <c r="M50" s="330"/>
      <c r="N50" s="329"/>
      <c r="O50" s="329"/>
    </row>
    <row r="51" spans="1:15" ht="15" customHeight="1" x14ac:dyDescent="0.25">
      <c r="A51" s="131">
        <v>45</v>
      </c>
      <c r="B51" s="117" t="s">
        <v>226</v>
      </c>
      <c r="C51" s="88">
        <v>527</v>
      </c>
      <c r="D51" s="88">
        <v>1179.51</v>
      </c>
      <c r="E51" s="88">
        <v>2764</v>
      </c>
      <c r="F51" s="88">
        <v>7608</v>
      </c>
      <c r="G51" s="89">
        <f t="shared" si="0"/>
        <v>645.01360734542311</v>
      </c>
      <c r="H51" s="88">
        <v>451</v>
      </c>
      <c r="I51" s="88">
        <v>914.64</v>
      </c>
      <c r="J51" s="88">
        <v>2116</v>
      </c>
      <c r="K51" s="88">
        <v>4212</v>
      </c>
      <c r="L51" s="133">
        <f t="shared" si="1"/>
        <v>460.50905274206247</v>
      </c>
      <c r="M51" s="330"/>
      <c r="N51" s="329"/>
      <c r="O51" s="329"/>
    </row>
    <row r="52" spans="1:15" ht="15" customHeight="1" x14ac:dyDescent="0.25">
      <c r="A52" s="131">
        <v>46</v>
      </c>
      <c r="B52" s="117" t="s">
        <v>227</v>
      </c>
      <c r="C52" s="88">
        <v>28</v>
      </c>
      <c r="D52" s="88">
        <v>126.06</v>
      </c>
      <c r="E52" s="88">
        <v>0</v>
      </c>
      <c r="F52" s="88">
        <v>0</v>
      </c>
      <c r="G52" s="89">
        <f t="shared" si="0"/>
        <v>0</v>
      </c>
      <c r="H52" s="88">
        <v>24</v>
      </c>
      <c r="I52" s="88">
        <v>97.75</v>
      </c>
      <c r="J52" s="88">
        <v>0</v>
      </c>
      <c r="K52" s="88">
        <v>0</v>
      </c>
      <c r="L52" s="133">
        <f t="shared" si="1"/>
        <v>0</v>
      </c>
      <c r="M52" s="330"/>
      <c r="N52" s="329"/>
      <c r="O52" s="329"/>
    </row>
    <row r="53" spans="1:15" ht="15" customHeight="1" x14ac:dyDescent="0.25">
      <c r="A53" s="131">
        <v>47</v>
      </c>
      <c r="B53" s="99" t="s">
        <v>77</v>
      </c>
      <c r="C53" s="88">
        <v>0</v>
      </c>
      <c r="D53" s="88">
        <v>0</v>
      </c>
      <c r="E53" s="88">
        <v>0</v>
      </c>
      <c r="F53" s="88">
        <v>0</v>
      </c>
      <c r="G53" s="89">
        <v>0</v>
      </c>
      <c r="H53" s="88">
        <v>0</v>
      </c>
      <c r="I53" s="88">
        <v>0</v>
      </c>
      <c r="J53" s="88">
        <v>0</v>
      </c>
      <c r="K53" s="88">
        <v>0</v>
      </c>
      <c r="L53" s="133">
        <v>0</v>
      </c>
      <c r="M53" s="330"/>
      <c r="N53" s="329"/>
      <c r="O53" s="329"/>
    </row>
    <row r="54" spans="1:15" ht="15" customHeight="1" x14ac:dyDescent="0.25">
      <c r="A54" s="131">
        <v>48</v>
      </c>
      <c r="B54" s="99" t="s">
        <v>228</v>
      </c>
      <c r="C54" s="88">
        <v>0</v>
      </c>
      <c r="D54" s="88">
        <v>0</v>
      </c>
      <c r="E54" s="88">
        <v>0</v>
      </c>
      <c r="F54" s="88">
        <v>0</v>
      </c>
      <c r="G54" s="89">
        <v>0</v>
      </c>
      <c r="H54" s="88">
        <v>0</v>
      </c>
      <c r="I54" s="88">
        <v>0</v>
      </c>
      <c r="J54" s="88">
        <v>0</v>
      </c>
      <c r="K54" s="88">
        <v>0</v>
      </c>
      <c r="L54" s="133">
        <v>0</v>
      </c>
      <c r="M54" s="330"/>
      <c r="N54" s="329"/>
      <c r="O54" s="329"/>
    </row>
    <row r="55" spans="1:15" ht="15" customHeight="1" x14ac:dyDescent="0.25">
      <c r="A55" s="131">
        <v>49</v>
      </c>
      <c r="B55" s="99" t="s">
        <v>76</v>
      </c>
      <c r="C55" s="88">
        <v>1199</v>
      </c>
      <c r="D55" s="88">
        <f>3197.06+715</f>
        <v>3912.06</v>
      </c>
      <c r="E55" s="88">
        <v>2162</v>
      </c>
      <c r="F55" s="88">
        <v>1111</v>
      </c>
      <c r="G55" s="89">
        <f t="shared" si="0"/>
        <v>28.399359928017464</v>
      </c>
      <c r="H55" s="88">
        <v>1028</v>
      </c>
      <c r="I55" s="88">
        <v>2479.14</v>
      </c>
      <c r="J55" s="88">
        <v>1</v>
      </c>
      <c r="K55" s="88">
        <v>83</v>
      </c>
      <c r="L55" s="133">
        <f t="shared" si="1"/>
        <v>3.3479351710673866</v>
      </c>
      <c r="M55" s="330"/>
      <c r="N55" s="329"/>
      <c r="O55" s="329"/>
    </row>
    <row r="56" spans="1:15" s="143" customFormat="1" ht="15" x14ac:dyDescent="0.25">
      <c r="A56" s="134"/>
      <c r="B56" s="121" t="s">
        <v>289</v>
      </c>
      <c r="C56" s="93">
        <f>SUM(C34:C55)</f>
        <v>94610</v>
      </c>
      <c r="D56" s="93">
        <f t="shared" ref="D56:K56" si="3">SUM(D34:D55)</f>
        <v>317685.86</v>
      </c>
      <c r="E56" s="93">
        <f t="shared" si="3"/>
        <v>290640</v>
      </c>
      <c r="F56" s="93">
        <f t="shared" si="3"/>
        <v>375568.49</v>
      </c>
      <c r="G56" s="89">
        <f t="shared" si="0"/>
        <v>118.22008382746402</v>
      </c>
      <c r="H56" s="93">
        <f t="shared" si="3"/>
        <v>81129</v>
      </c>
      <c r="I56" s="93">
        <f t="shared" si="3"/>
        <v>245779.56000000003</v>
      </c>
      <c r="J56" s="93">
        <f t="shared" si="3"/>
        <v>69505</v>
      </c>
      <c r="K56" s="93">
        <f t="shared" si="3"/>
        <v>224940.31</v>
      </c>
      <c r="L56" s="133">
        <f t="shared" si="1"/>
        <v>91.521162296815888</v>
      </c>
      <c r="M56" s="330"/>
      <c r="N56" s="329"/>
      <c r="O56" s="329"/>
    </row>
    <row r="57" spans="1:15" ht="15" customHeight="1" x14ac:dyDescent="0.25">
      <c r="A57" s="131">
        <v>50</v>
      </c>
      <c r="B57" s="117" t="s">
        <v>46</v>
      </c>
      <c r="C57" s="88">
        <v>77034</v>
      </c>
      <c r="D57" s="88">
        <v>272593.48</v>
      </c>
      <c r="E57" s="88">
        <v>91765</v>
      </c>
      <c r="F57" s="88">
        <v>108788.05</v>
      </c>
      <c r="G57" s="89">
        <f t="shared" si="0"/>
        <v>39.908529727123337</v>
      </c>
      <c r="H57" s="88">
        <v>62516.029328722252</v>
      </c>
      <c r="I57" s="88">
        <v>204064.77</v>
      </c>
      <c r="J57" s="88">
        <v>91118</v>
      </c>
      <c r="K57" s="88">
        <v>107971.36</v>
      </c>
      <c r="L57" s="133">
        <f t="shared" si="1"/>
        <v>52.910338222516316</v>
      </c>
      <c r="M57" s="330"/>
      <c r="N57" s="329"/>
      <c r="O57" s="329"/>
    </row>
    <row r="58" spans="1:15" ht="15" customHeight="1" x14ac:dyDescent="0.25">
      <c r="A58" s="131">
        <v>51</v>
      </c>
      <c r="B58" s="117" t="s">
        <v>229</v>
      </c>
      <c r="C58" s="88">
        <f>144402-1800</f>
        <v>142602</v>
      </c>
      <c r="D58" s="88">
        <f>257917.7+12000</f>
        <v>269917.7</v>
      </c>
      <c r="E58" s="88">
        <v>143556</v>
      </c>
      <c r="F58" s="88">
        <v>67354</v>
      </c>
      <c r="G58" s="89">
        <f t="shared" si="0"/>
        <v>24.953532132201776</v>
      </c>
      <c r="H58" s="88">
        <f>135669-12584</f>
        <v>123085</v>
      </c>
      <c r="I58" s="88">
        <v>228893.73</v>
      </c>
      <c r="J58" s="88">
        <v>143387</v>
      </c>
      <c r="K58" s="88">
        <v>67285</v>
      </c>
      <c r="L58" s="133">
        <f t="shared" si="1"/>
        <v>29.395737489183297</v>
      </c>
      <c r="M58" s="330"/>
      <c r="N58" s="329"/>
      <c r="O58" s="329"/>
    </row>
    <row r="59" spans="1:15" ht="15" customHeight="1" x14ac:dyDescent="0.25">
      <c r="A59" s="131">
        <v>52</v>
      </c>
      <c r="B59" s="117" t="s">
        <v>52</v>
      </c>
      <c r="C59" s="88">
        <f>110333.042837079-1848</f>
        <v>108485.042837079</v>
      </c>
      <c r="D59" s="88">
        <f>400093.97+12037</f>
        <v>412130.97</v>
      </c>
      <c r="E59" s="88">
        <v>11115</v>
      </c>
      <c r="F59" s="88">
        <v>190218.1</v>
      </c>
      <c r="G59" s="89">
        <f t="shared" si="0"/>
        <v>46.15476968401574</v>
      </c>
      <c r="H59" s="88">
        <v>95573</v>
      </c>
      <c r="I59" s="88">
        <f>338748.6-31435</f>
        <v>307313.59999999998</v>
      </c>
      <c r="J59" s="88">
        <v>11115</v>
      </c>
      <c r="K59" s="88">
        <v>190218.1</v>
      </c>
      <c r="L59" s="133">
        <f t="shared" si="1"/>
        <v>61.897065408104297</v>
      </c>
      <c r="M59" s="330"/>
      <c r="N59" s="329"/>
      <c r="O59" s="329"/>
    </row>
    <row r="60" spans="1:15" s="149" customFormat="1" ht="15" x14ac:dyDescent="0.25">
      <c r="A60" s="95"/>
      <c r="B60" s="106" t="s">
        <v>295</v>
      </c>
      <c r="C60" s="96">
        <f>SUM(C57:C59)</f>
        <v>328121.04283707903</v>
      </c>
      <c r="D60" s="96">
        <f t="shared" ref="D60:K60" si="4">SUM(D57:D59)</f>
        <v>954642.14999999991</v>
      </c>
      <c r="E60" s="96">
        <f t="shared" si="4"/>
        <v>246436</v>
      </c>
      <c r="F60" s="96">
        <f t="shared" si="4"/>
        <v>366360.15</v>
      </c>
      <c r="G60" s="89">
        <f t="shared" si="0"/>
        <v>38.376699583189371</v>
      </c>
      <c r="H60" s="96">
        <f t="shared" si="4"/>
        <v>281174.02932872227</v>
      </c>
      <c r="I60" s="96">
        <f t="shared" si="4"/>
        <v>740272.1</v>
      </c>
      <c r="J60" s="96">
        <f t="shared" si="4"/>
        <v>245620</v>
      </c>
      <c r="K60" s="96">
        <f t="shared" si="4"/>
        <v>365474.45999999996</v>
      </c>
      <c r="L60" s="133">
        <f t="shared" si="1"/>
        <v>49.370286952594867</v>
      </c>
      <c r="M60" s="330"/>
      <c r="N60" s="329"/>
      <c r="O60" s="329"/>
    </row>
    <row r="61" spans="1:15" ht="15" x14ac:dyDescent="0.25">
      <c r="A61" s="131">
        <v>53</v>
      </c>
      <c r="B61" s="99" t="s">
        <v>290</v>
      </c>
      <c r="C61" s="88">
        <v>665523</v>
      </c>
      <c r="D61" s="88">
        <v>1996110.99</v>
      </c>
      <c r="E61" s="88">
        <v>773101</v>
      </c>
      <c r="F61" s="88">
        <v>1089131</v>
      </c>
      <c r="G61" s="89">
        <f t="shared" si="0"/>
        <v>54.562647340566969</v>
      </c>
      <c r="H61" s="88">
        <v>582311</v>
      </c>
      <c r="I61" s="88">
        <v>1512286.55</v>
      </c>
      <c r="J61" s="146">
        <v>679055</v>
      </c>
      <c r="K61" s="93">
        <f>987207-2502</f>
        <v>984705</v>
      </c>
      <c r="L61" s="133">
        <f t="shared" si="1"/>
        <v>65.113651906776525</v>
      </c>
      <c r="M61" s="330"/>
      <c r="N61" s="329"/>
      <c r="O61" s="329"/>
    </row>
    <row r="62" spans="1:15" s="143" customFormat="1" ht="15" x14ac:dyDescent="0.25">
      <c r="A62" s="134"/>
      <c r="B62" s="106" t="s">
        <v>291</v>
      </c>
      <c r="C62" s="93">
        <f>C61</f>
        <v>665523</v>
      </c>
      <c r="D62" s="93">
        <f t="shared" ref="D62:K62" si="5">D61</f>
        <v>1996110.99</v>
      </c>
      <c r="E62" s="93">
        <f t="shared" si="5"/>
        <v>773101</v>
      </c>
      <c r="F62" s="93">
        <f t="shared" si="5"/>
        <v>1089131</v>
      </c>
      <c r="G62" s="89">
        <f t="shared" si="0"/>
        <v>54.562647340566969</v>
      </c>
      <c r="H62" s="93">
        <f t="shared" si="5"/>
        <v>582311</v>
      </c>
      <c r="I62" s="93">
        <f t="shared" si="5"/>
        <v>1512286.55</v>
      </c>
      <c r="J62" s="93">
        <f t="shared" si="5"/>
        <v>679055</v>
      </c>
      <c r="K62" s="93">
        <f t="shared" si="5"/>
        <v>984705</v>
      </c>
      <c r="L62" s="133">
        <f t="shared" si="1"/>
        <v>65.113651906776525</v>
      </c>
      <c r="M62" s="330"/>
      <c r="N62" s="329"/>
      <c r="O62" s="329"/>
    </row>
    <row r="63" spans="1:15" s="143" customFormat="1" ht="15" x14ac:dyDescent="0.25">
      <c r="A63" s="134"/>
      <c r="B63" s="106" t="s">
        <v>292</v>
      </c>
      <c r="C63" s="93">
        <f>C62+C60+C56+C33</f>
        <v>2480508.0428370791</v>
      </c>
      <c r="D63" s="93">
        <f t="shared" ref="D63:K63" si="6">D62+D60+D56+D33</f>
        <v>7592695.2599999998</v>
      </c>
      <c r="E63" s="93">
        <f t="shared" si="6"/>
        <v>2425158</v>
      </c>
      <c r="F63" s="93">
        <f t="shared" si="6"/>
        <v>4054064.1499999994</v>
      </c>
      <c r="G63" s="89">
        <f t="shared" si="0"/>
        <v>53.394269243989115</v>
      </c>
      <c r="H63" s="93">
        <f t="shared" si="6"/>
        <v>2137653.0293287225</v>
      </c>
      <c r="I63" s="93">
        <f t="shared" si="6"/>
        <v>5852094.25</v>
      </c>
      <c r="J63" s="93">
        <f t="shared" si="6"/>
        <v>2219612</v>
      </c>
      <c r="K63" s="93">
        <f t="shared" si="6"/>
        <v>3420052.7</v>
      </c>
      <c r="L63" s="133">
        <f t="shared" si="1"/>
        <v>58.441517752384115</v>
      </c>
      <c r="M63" s="330"/>
      <c r="N63" s="329"/>
      <c r="O63" s="329"/>
    </row>
    <row r="64" spans="1:15" x14ac:dyDescent="0.2">
      <c r="C64" s="146" t="s">
        <v>1220</v>
      </c>
    </row>
    <row r="68" spans="4:4" x14ac:dyDescent="0.2">
      <c r="D68" s="146">
        <f>D65-D63</f>
        <v>-7592695.2599999998</v>
      </c>
    </row>
  </sheetData>
  <sortState ref="B8:L32">
    <sortCondition ref="B6:B32"/>
  </sortState>
  <mergeCells count="11">
    <mergeCell ref="B3:B5"/>
    <mergeCell ref="A1:L1"/>
    <mergeCell ref="H4:I4"/>
    <mergeCell ref="G3:G5"/>
    <mergeCell ref="E4:F4"/>
    <mergeCell ref="J4:K4"/>
    <mergeCell ref="A3:A5"/>
    <mergeCell ref="L3:L5"/>
    <mergeCell ref="C3:F3"/>
    <mergeCell ref="C4:D4"/>
    <mergeCell ref="H3:K3"/>
  </mergeCells>
  <conditionalFormatting sqref="F16 H16:I16">
    <cfRule type="duplicateValues" dxfId="149" priority="8"/>
  </conditionalFormatting>
  <conditionalFormatting sqref="B6">
    <cfRule type="duplicateValues" dxfId="148" priority="9"/>
  </conditionalFormatting>
  <conditionalFormatting sqref="B26">
    <cfRule type="duplicateValues" dxfId="147" priority="10"/>
  </conditionalFormatting>
  <conditionalFormatting sqref="L2:L3 L6:L65540">
    <cfRule type="cellIs" dxfId="146" priority="7" stopIfTrue="1" operator="greaterThan">
      <formula>50</formula>
    </cfRule>
  </conditionalFormatting>
  <conditionalFormatting sqref="B32:B33 B27:B29 B25">
    <cfRule type="duplicateValues" dxfId="145" priority="117"/>
  </conditionalFormatting>
  <conditionalFormatting sqref="B52">
    <cfRule type="duplicateValues" dxfId="144" priority="6"/>
  </conditionalFormatting>
  <conditionalFormatting sqref="B56">
    <cfRule type="duplicateValues" dxfId="143" priority="5"/>
  </conditionalFormatting>
  <conditionalFormatting sqref="B58">
    <cfRule type="duplicateValues" dxfId="142" priority="4"/>
  </conditionalFormatting>
  <conditionalFormatting sqref="N1:N1048576">
    <cfRule type="cellIs" dxfId="141" priority="1" operator="lessThan">
      <formula>0</formula>
    </cfRule>
    <cfRule type="cellIs" dxfId="140" priority="2" operator="lessThan">
      <formula>0</formula>
    </cfRule>
    <cfRule type="cellIs" dxfId="139" priority="3" operator="lessThan">
      <formula>0</formula>
    </cfRule>
  </conditionalFormatting>
  <pageMargins left="0.75" right="0.25" top="0.25" bottom="0.25" header="0.05" footer="0.3"/>
  <pageSetup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64"/>
  <sheetViews>
    <sheetView view="pageBreakPreview" zoomScale="60" zoomScaleNormal="100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N66" sqref="N66"/>
    </sheetView>
  </sheetViews>
  <sheetFormatPr defaultColWidth="4.42578125" defaultRowHeight="13.5" x14ac:dyDescent="0.2"/>
  <cols>
    <col min="1" max="1" width="4.42578125" style="62"/>
    <col min="2" max="2" width="24.85546875" style="62" customWidth="1"/>
    <col min="3" max="3" width="8.5703125" style="111" customWidth="1"/>
    <col min="4" max="4" width="8.7109375" style="111" customWidth="1"/>
    <col min="5" max="5" width="8.7109375" style="111" bestFit="1" customWidth="1"/>
    <col min="6" max="6" width="8.42578125" style="111" customWidth="1"/>
    <col min="7" max="7" width="9.28515625" style="109" customWidth="1"/>
    <col min="8" max="8" width="8.7109375" style="111" bestFit="1" customWidth="1"/>
    <col min="9" max="9" width="8.85546875" style="111" customWidth="1"/>
    <col min="10" max="10" width="8.7109375" style="111" bestFit="1" customWidth="1"/>
    <col min="11" max="11" width="9.140625" style="111" bestFit="1" customWidth="1"/>
    <col min="12" max="12" width="9.5703125" style="109" customWidth="1"/>
    <col min="13" max="13" width="9.140625" style="111" customWidth="1"/>
    <col min="14" max="14" width="9.28515625" style="111" customWidth="1"/>
    <col min="15" max="16" width="9.5703125" style="111" customWidth="1"/>
    <col min="17" max="17" width="9.140625" style="109" customWidth="1"/>
    <col min="18" max="18" width="8.5703125" style="111" bestFit="1" customWidth="1"/>
    <col min="19" max="19" width="4.42578125" style="62"/>
    <col min="20" max="20" width="6" style="62" bestFit="1" customWidth="1"/>
    <col min="21" max="16384" width="4.42578125" style="62"/>
  </cols>
  <sheetData>
    <row r="1" spans="1:20" ht="15" customHeight="1" x14ac:dyDescent="0.2">
      <c r="A1" s="477" t="s">
        <v>360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</row>
    <row r="2" spans="1:20" ht="15" customHeight="1" x14ac:dyDescent="0.2">
      <c r="B2" s="108" t="s">
        <v>134</v>
      </c>
      <c r="C2" s="112"/>
      <c r="D2" s="112"/>
      <c r="F2" s="111" t="s">
        <v>143</v>
      </c>
      <c r="I2" s="112" t="s">
        <v>164</v>
      </c>
      <c r="J2" s="112"/>
      <c r="K2" s="112"/>
      <c r="L2" s="308"/>
      <c r="M2" s="112"/>
      <c r="N2" s="112"/>
    </row>
    <row r="3" spans="1:20" ht="35.1" customHeight="1" x14ac:dyDescent="0.2">
      <c r="A3" s="478" t="s">
        <v>120</v>
      </c>
      <c r="B3" s="478" t="s">
        <v>100</v>
      </c>
      <c r="C3" s="478" t="s">
        <v>161</v>
      </c>
      <c r="D3" s="478"/>
      <c r="E3" s="478"/>
      <c r="F3" s="478"/>
      <c r="G3" s="478"/>
      <c r="H3" s="478" t="s">
        <v>162</v>
      </c>
      <c r="I3" s="478"/>
      <c r="J3" s="478"/>
      <c r="K3" s="478"/>
      <c r="L3" s="478"/>
      <c r="M3" s="502" t="s">
        <v>163</v>
      </c>
      <c r="N3" s="503"/>
      <c r="O3" s="503"/>
      <c r="P3" s="503"/>
      <c r="Q3" s="504"/>
      <c r="R3" s="351"/>
    </row>
    <row r="4" spans="1:20" ht="24.95" customHeight="1" x14ac:dyDescent="0.2">
      <c r="A4" s="478"/>
      <c r="B4" s="478"/>
      <c r="C4" s="479" t="s">
        <v>21</v>
      </c>
      <c r="D4" s="479"/>
      <c r="E4" s="479" t="s">
        <v>160</v>
      </c>
      <c r="F4" s="479"/>
      <c r="G4" s="476" t="s">
        <v>158</v>
      </c>
      <c r="H4" s="479" t="s">
        <v>21</v>
      </c>
      <c r="I4" s="479"/>
      <c r="J4" s="479" t="s">
        <v>160</v>
      </c>
      <c r="K4" s="479"/>
      <c r="L4" s="476" t="s">
        <v>158</v>
      </c>
      <c r="M4" s="479" t="s">
        <v>21</v>
      </c>
      <c r="N4" s="479"/>
      <c r="O4" s="479" t="s">
        <v>160</v>
      </c>
      <c r="P4" s="479"/>
      <c r="Q4" s="476" t="s">
        <v>158</v>
      </c>
      <c r="R4" s="351"/>
    </row>
    <row r="5" spans="1:20" ht="15" customHeight="1" x14ac:dyDescent="0.2">
      <c r="A5" s="478"/>
      <c r="B5" s="478"/>
      <c r="C5" s="318" t="s">
        <v>30</v>
      </c>
      <c r="D5" s="318" t="s">
        <v>17</v>
      </c>
      <c r="E5" s="318" t="s">
        <v>30</v>
      </c>
      <c r="F5" s="318" t="s">
        <v>17</v>
      </c>
      <c r="G5" s="476"/>
      <c r="H5" s="318" t="s">
        <v>30</v>
      </c>
      <c r="I5" s="318" t="s">
        <v>17</v>
      </c>
      <c r="J5" s="318" t="s">
        <v>30</v>
      </c>
      <c r="K5" s="318" t="s">
        <v>17</v>
      </c>
      <c r="L5" s="476"/>
      <c r="M5" s="318" t="s">
        <v>30</v>
      </c>
      <c r="N5" s="318" t="s">
        <v>17</v>
      </c>
      <c r="O5" s="318" t="s">
        <v>30</v>
      </c>
      <c r="P5" s="318" t="s">
        <v>17</v>
      </c>
      <c r="Q5" s="476"/>
      <c r="R5" s="351"/>
    </row>
    <row r="6" spans="1:20" x14ac:dyDescent="0.2">
      <c r="A6" s="57">
        <v>1</v>
      </c>
      <c r="B6" s="98" t="s">
        <v>55</v>
      </c>
      <c r="C6" s="99">
        <v>1520</v>
      </c>
      <c r="D6" s="99">
        <v>5556</v>
      </c>
      <c r="E6" s="99">
        <v>153</v>
      </c>
      <c r="F6" s="99">
        <f>1856-1382</f>
        <v>474</v>
      </c>
      <c r="G6" s="100">
        <f>F6*100/D6</f>
        <v>8.5313174946004313</v>
      </c>
      <c r="H6" s="99">
        <v>4048</v>
      </c>
      <c r="I6" s="99">
        <v>3227</v>
      </c>
      <c r="J6" s="99">
        <v>1989</v>
      </c>
      <c r="K6" s="99">
        <v>2190</v>
      </c>
      <c r="L6" s="100">
        <f>K6*100/I6</f>
        <v>67.864889990703446</v>
      </c>
      <c r="M6" s="99">
        <f>H6+C6+'ACP_Agri_9(i)'!C6</f>
        <v>59642</v>
      </c>
      <c r="N6" s="99">
        <f>I6+D6+'ACP_Agri_9(i)'!D6</f>
        <v>141080.06</v>
      </c>
      <c r="O6" s="99">
        <f>J6+E6+'ACP_Agri_9(i)'!E6</f>
        <v>20010</v>
      </c>
      <c r="P6" s="99">
        <f>K6+F6+'ACP_Agri_9(i)'!F6</f>
        <v>90200</v>
      </c>
      <c r="Q6" s="100">
        <f>P6*100/N6</f>
        <v>63.935328635386178</v>
      </c>
      <c r="T6" s="111"/>
    </row>
    <row r="7" spans="1:20" x14ac:dyDescent="0.2">
      <c r="A7" s="57">
        <v>2</v>
      </c>
      <c r="B7" s="98" t="s">
        <v>56</v>
      </c>
      <c r="C7" s="99">
        <v>34</v>
      </c>
      <c r="D7" s="99">
        <v>138</v>
      </c>
      <c r="E7" s="99">
        <v>0</v>
      </c>
      <c r="F7" s="99">
        <v>0</v>
      </c>
      <c r="G7" s="100">
        <f t="shared" ref="G7:G63" si="0">F7*100/D7</f>
        <v>0</v>
      </c>
      <c r="H7" s="99">
        <v>24</v>
      </c>
      <c r="I7" s="99">
        <v>80</v>
      </c>
      <c r="J7" s="99">
        <v>0</v>
      </c>
      <c r="K7" s="99">
        <v>0</v>
      </c>
      <c r="L7" s="100">
        <f t="shared" ref="L7:L63" si="1">K7*100/I7</f>
        <v>0</v>
      </c>
      <c r="M7" s="99">
        <f>H7+C7+'ACP_Agri_9(i)'!C7</f>
        <v>1222</v>
      </c>
      <c r="N7" s="99">
        <f>I7+D7+'ACP_Agri_9(i)'!D7</f>
        <v>3493.33</v>
      </c>
      <c r="O7" s="99">
        <f>J7+E7+'ACP_Agri_9(i)'!E7</f>
        <v>810</v>
      </c>
      <c r="P7" s="99">
        <f>K7+F7+'ACP_Agri_9(i)'!F7</f>
        <v>1803.11</v>
      </c>
      <c r="Q7" s="100">
        <f t="shared" ref="Q7:Q63" si="2">P7*100/N7</f>
        <v>51.615793526520541</v>
      </c>
      <c r="T7" s="111"/>
    </row>
    <row r="8" spans="1:20" x14ac:dyDescent="0.2">
      <c r="A8" s="57">
        <v>3</v>
      </c>
      <c r="B8" s="98" t="s">
        <v>57</v>
      </c>
      <c r="C8" s="99">
        <v>1022</v>
      </c>
      <c r="D8" s="99">
        <v>4656</v>
      </c>
      <c r="E8" s="99">
        <v>2740</v>
      </c>
      <c r="F8" s="99">
        <v>12832</v>
      </c>
      <c r="G8" s="100">
        <f t="shared" si="0"/>
        <v>275.60137457044675</v>
      </c>
      <c r="H8" s="99">
        <v>704</v>
      </c>
      <c r="I8" s="99">
        <v>2704</v>
      </c>
      <c r="J8" s="99">
        <v>560</v>
      </c>
      <c r="K8" s="99">
        <v>2501</v>
      </c>
      <c r="L8" s="100">
        <f t="shared" si="1"/>
        <v>92.492603550295854</v>
      </c>
      <c r="M8" s="99">
        <f>H8+C8+'ACP_Agri_9(i)'!C8</f>
        <v>38048</v>
      </c>
      <c r="N8" s="99">
        <f>I8+D8+'ACP_Agri_9(i)'!D8</f>
        <v>118221.54</v>
      </c>
      <c r="O8" s="99">
        <f>J8+E8+'ACP_Agri_9(i)'!E8</f>
        <v>25611</v>
      </c>
      <c r="P8" s="99">
        <f>K8+F8+'ACP_Agri_9(i)'!F8</f>
        <v>82922</v>
      </c>
      <c r="Q8" s="100">
        <f t="shared" si="2"/>
        <v>70.141194235838924</v>
      </c>
      <c r="T8" s="111"/>
    </row>
    <row r="9" spans="1:20" x14ac:dyDescent="0.2">
      <c r="A9" s="57">
        <v>4</v>
      </c>
      <c r="B9" s="98" t="s">
        <v>58</v>
      </c>
      <c r="C9" s="99">
        <v>5162</v>
      </c>
      <c r="D9" s="99">
        <v>28477</v>
      </c>
      <c r="E9" s="99">
        <v>13271</v>
      </c>
      <c r="F9" s="99">
        <v>22075</v>
      </c>
      <c r="G9" s="100">
        <f t="shared" si="0"/>
        <v>77.518699301190438</v>
      </c>
      <c r="H9" s="99">
        <v>3558</v>
      </c>
      <c r="I9" s="99">
        <v>16541</v>
      </c>
      <c r="J9" s="99">
        <v>19513</v>
      </c>
      <c r="K9" s="99">
        <v>30288</v>
      </c>
      <c r="L9" s="100">
        <f t="shared" si="1"/>
        <v>183.10863913910887</v>
      </c>
      <c r="M9" s="99">
        <f>H9+C9+'ACP_Agri_9(i)'!C9</f>
        <v>192320</v>
      </c>
      <c r="N9" s="99">
        <f>I9+D9+'ACP_Agri_9(i)'!D9</f>
        <v>723077.37</v>
      </c>
      <c r="O9" s="99">
        <f>J9+E9+'ACP_Agri_9(i)'!E9</f>
        <v>375441</v>
      </c>
      <c r="P9" s="99">
        <f>K9+F9+'ACP_Agri_9(i)'!F9</f>
        <v>474968</v>
      </c>
      <c r="Q9" s="100">
        <f t="shared" si="2"/>
        <v>65.6870232296165</v>
      </c>
      <c r="T9" s="111"/>
    </row>
    <row r="10" spans="1:20" x14ac:dyDescent="0.2">
      <c r="A10" s="57">
        <v>5</v>
      </c>
      <c r="B10" s="98" t="s">
        <v>59</v>
      </c>
      <c r="C10" s="99">
        <v>1098</v>
      </c>
      <c r="D10" s="99">
        <v>4774</v>
      </c>
      <c r="E10" s="99">
        <v>333</v>
      </c>
      <c r="F10" s="99">
        <v>16427</v>
      </c>
      <c r="G10" s="100">
        <f t="shared" si="0"/>
        <v>344.09300377042314</v>
      </c>
      <c r="H10" s="99">
        <v>757</v>
      </c>
      <c r="I10" s="99">
        <v>2773</v>
      </c>
      <c r="J10" s="99">
        <v>1209</v>
      </c>
      <c r="K10" s="99">
        <v>4294.3999999999996</v>
      </c>
      <c r="L10" s="100">
        <f t="shared" si="1"/>
        <v>154.86476739992784</v>
      </c>
      <c r="M10" s="99">
        <f>H10+C10+'ACP_Agri_9(i)'!C10</f>
        <v>40939</v>
      </c>
      <c r="N10" s="99">
        <f>I10+D10+'ACP_Agri_9(i)'!D10</f>
        <v>121210.74</v>
      </c>
      <c r="O10" s="99">
        <f>J10+E10+'ACP_Agri_9(i)'!E10</f>
        <v>51009</v>
      </c>
      <c r="P10" s="99">
        <f>K10+F10+'ACP_Agri_9(i)'!F10</f>
        <v>75285.34</v>
      </c>
      <c r="Q10" s="100">
        <f t="shared" si="2"/>
        <v>62.111113256135553</v>
      </c>
      <c r="T10" s="111"/>
    </row>
    <row r="11" spans="1:20" x14ac:dyDescent="0.2">
      <c r="A11" s="57">
        <v>6</v>
      </c>
      <c r="B11" s="101" t="s">
        <v>242</v>
      </c>
      <c r="C11" s="99">
        <v>15</v>
      </c>
      <c r="D11" s="99">
        <v>25</v>
      </c>
      <c r="E11" s="99">
        <v>0</v>
      </c>
      <c r="F11" s="99">
        <v>0</v>
      </c>
      <c r="G11" s="100">
        <f t="shared" si="0"/>
        <v>0</v>
      </c>
      <c r="H11" s="99">
        <v>0</v>
      </c>
      <c r="I11" s="99">
        <v>0</v>
      </c>
      <c r="J11" s="99">
        <v>0</v>
      </c>
      <c r="K11" s="99">
        <v>0</v>
      </c>
      <c r="L11" s="100">
        <v>0</v>
      </c>
      <c r="M11" s="99">
        <f>H11+C11+'ACP_Agri_9(i)'!C11</f>
        <v>30</v>
      </c>
      <c r="N11" s="99">
        <v>48</v>
      </c>
      <c r="O11" s="99">
        <f>J11+E11+'ACP_Agri_9(i)'!E11</f>
        <v>1</v>
      </c>
      <c r="P11" s="99">
        <f>K11+F11+'ACP_Agri_9(i)'!F11</f>
        <v>0.72</v>
      </c>
      <c r="Q11" s="100">
        <f t="shared" si="2"/>
        <v>1.5</v>
      </c>
      <c r="T11" s="111"/>
    </row>
    <row r="12" spans="1:20" x14ac:dyDescent="0.2">
      <c r="A12" s="57">
        <v>7</v>
      </c>
      <c r="B12" s="98" t="s">
        <v>60</v>
      </c>
      <c r="C12" s="99">
        <v>594</v>
      </c>
      <c r="D12" s="99">
        <v>2372</v>
      </c>
      <c r="E12" s="99">
        <v>0</v>
      </c>
      <c r="F12" s="99">
        <v>0</v>
      </c>
      <c r="G12" s="100">
        <f t="shared" si="0"/>
        <v>0</v>
      </c>
      <c r="H12" s="99">
        <v>410</v>
      </c>
      <c r="I12" s="99">
        <v>1378</v>
      </c>
      <c r="J12" s="99">
        <v>26</v>
      </c>
      <c r="K12" s="99">
        <v>1238</v>
      </c>
      <c r="L12" s="100">
        <f t="shared" si="1"/>
        <v>89.840348330914367</v>
      </c>
      <c r="M12" s="99">
        <f>H12+C12+'ACP_Agri_9(i)'!C12</f>
        <v>22139</v>
      </c>
      <c r="N12" s="99">
        <f>I12+D12+'ACP_Agri_9(i)'!D12</f>
        <v>60236.68</v>
      </c>
      <c r="O12" s="99">
        <f>J12+E12+'ACP_Agri_9(i)'!E12</f>
        <v>20242</v>
      </c>
      <c r="P12" s="99">
        <f>K12+F12+'ACP_Agri_9(i)'!F12</f>
        <v>36353</v>
      </c>
      <c r="Q12" s="100">
        <f t="shared" si="2"/>
        <v>60.350271628516047</v>
      </c>
      <c r="T12" s="111"/>
    </row>
    <row r="13" spans="1:20" x14ac:dyDescent="0.2">
      <c r="A13" s="57">
        <v>8</v>
      </c>
      <c r="B13" s="98" t="s">
        <v>61</v>
      </c>
      <c r="C13" s="99">
        <v>5520</v>
      </c>
      <c r="D13" s="99">
        <v>23705</v>
      </c>
      <c r="E13" s="99">
        <v>74</v>
      </c>
      <c r="F13" s="99">
        <v>1397</v>
      </c>
      <c r="G13" s="100">
        <f t="shared" si="0"/>
        <v>5.8932714617169371</v>
      </c>
      <c r="H13" s="99">
        <v>3805</v>
      </c>
      <c r="I13" s="99">
        <v>13769</v>
      </c>
      <c r="J13" s="99">
        <v>273</v>
      </c>
      <c r="K13" s="99">
        <v>5236</v>
      </c>
      <c r="L13" s="100">
        <f t="shared" si="1"/>
        <v>38.02745297407219</v>
      </c>
      <c r="M13" s="99">
        <f>H13+C13+'ACP_Agri_9(i)'!C13</f>
        <v>205684</v>
      </c>
      <c r="N13" s="99">
        <f>I13+D13+'ACP_Agri_9(i)'!D13</f>
        <v>601908.85</v>
      </c>
      <c r="O13" s="99">
        <f>J13+E13+'ACP_Agri_9(i)'!E13</f>
        <v>107261</v>
      </c>
      <c r="P13" s="99">
        <f>K13+F13+'ACP_Agri_9(i)'!F13</f>
        <v>346619</v>
      </c>
      <c r="Q13" s="100">
        <f t="shared" si="2"/>
        <v>57.586626280706788</v>
      </c>
      <c r="T13" s="111"/>
    </row>
    <row r="14" spans="1:20" x14ac:dyDescent="0.2">
      <c r="A14" s="57">
        <v>9</v>
      </c>
      <c r="B14" s="98" t="s">
        <v>48</v>
      </c>
      <c r="C14" s="99">
        <v>120</v>
      </c>
      <c r="D14" s="99">
        <v>586</v>
      </c>
      <c r="E14" s="99">
        <v>0</v>
      </c>
      <c r="F14" s="99">
        <v>0</v>
      </c>
      <c r="G14" s="100">
        <f t="shared" si="0"/>
        <v>0</v>
      </c>
      <c r="H14" s="99">
        <v>84</v>
      </c>
      <c r="I14" s="99">
        <v>341</v>
      </c>
      <c r="J14" s="99">
        <v>0</v>
      </c>
      <c r="K14" s="99">
        <v>0</v>
      </c>
      <c r="L14" s="100">
        <f t="shared" si="1"/>
        <v>0</v>
      </c>
      <c r="M14" s="99">
        <f>H14+C14+'ACP_Agri_9(i)'!C14</f>
        <v>4515</v>
      </c>
      <c r="N14" s="99">
        <f>I14+D14+'ACP_Agri_9(i)'!D14</f>
        <v>14890.1</v>
      </c>
      <c r="O14" s="99">
        <f>J14+E14+'ACP_Agri_9(i)'!E14</f>
        <v>3791</v>
      </c>
      <c r="P14" s="99">
        <f>K14+F14+'ACP_Agri_9(i)'!F14</f>
        <v>9727</v>
      </c>
      <c r="Q14" s="100">
        <f t="shared" si="2"/>
        <v>65.325283241885543</v>
      </c>
      <c r="T14" s="111"/>
    </row>
    <row r="15" spans="1:20" x14ac:dyDescent="0.2">
      <c r="A15" s="57">
        <v>10</v>
      </c>
      <c r="B15" s="98" t="s">
        <v>49</v>
      </c>
      <c r="C15" s="99">
        <v>318</v>
      </c>
      <c r="D15" s="99">
        <v>1650</v>
      </c>
      <c r="E15" s="99">
        <v>10</v>
      </c>
      <c r="F15" s="99">
        <v>26</v>
      </c>
      <c r="G15" s="100">
        <f t="shared" si="0"/>
        <v>1.5757575757575757</v>
      </c>
      <c r="H15" s="99">
        <v>220</v>
      </c>
      <c r="I15" s="99">
        <v>958</v>
      </c>
      <c r="J15" s="99">
        <v>7</v>
      </c>
      <c r="K15" s="99">
        <v>104</v>
      </c>
      <c r="L15" s="100">
        <f t="shared" si="1"/>
        <v>10.855949895615867</v>
      </c>
      <c r="M15" s="99">
        <f>H15+C15+'ACP_Agri_9(i)'!C15</f>
        <v>11882</v>
      </c>
      <c r="N15" s="99">
        <f>I15+D15+'ACP_Agri_9(i)'!D15</f>
        <v>41885.339999999997</v>
      </c>
      <c r="O15" s="99">
        <f>J15+E15+'ACP_Agri_9(i)'!E15</f>
        <v>3039</v>
      </c>
      <c r="P15" s="99">
        <f>K15+F15+'ACP_Agri_9(i)'!F15</f>
        <v>7824</v>
      </c>
      <c r="Q15" s="100">
        <f t="shared" si="2"/>
        <v>18.679566645513681</v>
      </c>
      <c r="T15" s="111"/>
    </row>
    <row r="16" spans="1:20" x14ac:dyDescent="0.2">
      <c r="A16" s="57">
        <v>11</v>
      </c>
      <c r="B16" s="98" t="s">
        <v>81</v>
      </c>
      <c r="C16" s="99">
        <v>215</v>
      </c>
      <c r="D16" s="99">
        <v>961</v>
      </c>
      <c r="E16" s="99">
        <v>23</v>
      </c>
      <c r="F16" s="99">
        <f>979-312</f>
        <v>667</v>
      </c>
      <c r="G16" s="100">
        <f t="shared" si="0"/>
        <v>69.406867845993759</v>
      </c>
      <c r="H16" s="99">
        <v>148</v>
      </c>
      <c r="I16" s="99">
        <v>558</v>
      </c>
      <c r="J16" s="99">
        <v>30</v>
      </c>
      <c r="K16" s="99">
        <v>879</v>
      </c>
      <c r="L16" s="100">
        <f t="shared" si="1"/>
        <v>157.52688172043011</v>
      </c>
      <c r="M16" s="99">
        <f>H16+C16+'ACP_Agri_9(i)'!C16</f>
        <v>7993</v>
      </c>
      <c r="N16" s="99">
        <f>I16+D16+'ACP_Agri_9(i)'!D16</f>
        <v>24411.94</v>
      </c>
      <c r="O16" s="99">
        <f>J16+E16+'ACP_Agri_9(i)'!E16</f>
        <v>27097</v>
      </c>
      <c r="P16" s="99">
        <f>K16+F16+'ACP_Agri_9(i)'!F16</f>
        <v>48944</v>
      </c>
      <c r="Q16" s="100">
        <f t="shared" si="2"/>
        <v>200.49205429801975</v>
      </c>
      <c r="T16" s="111"/>
    </row>
    <row r="17" spans="1:20" x14ac:dyDescent="0.2">
      <c r="A17" s="57">
        <v>12</v>
      </c>
      <c r="B17" s="98" t="s">
        <v>62</v>
      </c>
      <c r="C17" s="99">
        <v>94</v>
      </c>
      <c r="D17" s="99">
        <v>472</v>
      </c>
      <c r="E17" s="99">
        <v>0</v>
      </c>
      <c r="F17" s="99">
        <v>0</v>
      </c>
      <c r="G17" s="100">
        <f t="shared" si="0"/>
        <v>0</v>
      </c>
      <c r="H17" s="99">
        <v>65</v>
      </c>
      <c r="I17" s="99">
        <v>274</v>
      </c>
      <c r="J17" s="99">
        <v>0</v>
      </c>
      <c r="K17" s="99">
        <v>0</v>
      </c>
      <c r="L17" s="100">
        <f t="shared" si="1"/>
        <v>0</v>
      </c>
      <c r="M17" s="99">
        <f>H17+C17+'ACP_Agri_9(i)'!C17</f>
        <v>3488</v>
      </c>
      <c r="N17" s="99">
        <f>I17+D17+'ACP_Agri_9(i)'!D17</f>
        <v>11973.65</v>
      </c>
      <c r="O17" s="99">
        <f>J17+E17+'ACP_Agri_9(i)'!E17</f>
        <v>2134</v>
      </c>
      <c r="P17" s="99">
        <f>K17+F17+'ACP_Agri_9(i)'!F17</f>
        <v>3127</v>
      </c>
      <c r="Q17" s="100">
        <f t="shared" si="2"/>
        <v>26.115679011830146</v>
      </c>
      <c r="T17" s="111"/>
    </row>
    <row r="18" spans="1:20" x14ac:dyDescent="0.2">
      <c r="A18" s="57">
        <v>13</v>
      </c>
      <c r="B18" s="98" t="s">
        <v>63</v>
      </c>
      <c r="C18" s="99">
        <v>110</v>
      </c>
      <c r="D18" s="99">
        <v>456</v>
      </c>
      <c r="E18" s="99">
        <v>0</v>
      </c>
      <c r="F18" s="99">
        <v>0</v>
      </c>
      <c r="G18" s="100">
        <f t="shared" si="0"/>
        <v>0</v>
      </c>
      <c r="H18" s="99">
        <v>75</v>
      </c>
      <c r="I18" s="99">
        <v>265</v>
      </c>
      <c r="J18" s="99">
        <v>61</v>
      </c>
      <c r="K18" s="99">
        <v>1024</v>
      </c>
      <c r="L18" s="100">
        <f t="shared" si="1"/>
        <v>386.41509433962267</v>
      </c>
      <c r="M18" s="99">
        <f>H18+C18+'ACP_Agri_9(i)'!C18</f>
        <v>4069</v>
      </c>
      <c r="N18" s="99">
        <f>I18+D18+'ACP_Agri_9(i)'!D18</f>
        <v>11576.43</v>
      </c>
      <c r="O18" s="99">
        <f>J18+E18+'ACP_Agri_9(i)'!E18</f>
        <v>2492</v>
      </c>
      <c r="P18" s="99">
        <f>K18+F18+'ACP_Agri_9(i)'!F18</f>
        <v>6625</v>
      </c>
      <c r="Q18" s="100">
        <f t="shared" si="2"/>
        <v>57.228351054686115</v>
      </c>
      <c r="T18" s="111"/>
    </row>
    <row r="19" spans="1:20" x14ac:dyDescent="0.2">
      <c r="A19" s="57">
        <v>14</v>
      </c>
      <c r="B19" s="102" t="s">
        <v>207</v>
      </c>
      <c r="C19" s="99">
        <v>392</v>
      </c>
      <c r="D19" s="99">
        <v>1875</v>
      </c>
      <c r="E19" s="99">
        <v>83</v>
      </c>
      <c r="F19" s="99">
        <v>139.88</v>
      </c>
      <c r="G19" s="100">
        <f t="shared" si="0"/>
        <v>7.4602666666666666</v>
      </c>
      <c r="H19" s="99">
        <v>270</v>
      </c>
      <c r="I19" s="99">
        <v>1089</v>
      </c>
      <c r="J19" s="99">
        <v>179</v>
      </c>
      <c r="K19" s="99">
        <v>22230</v>
      </c>
      <c r="L19" s="100">
        <f t="shared" si="1"/>
        <v>2041.3223140495868</v>
      </c>
      <c r="M19" s="99">
        <f>H19+C19+'ACP_Agri_9(i)'!C19</f>
        <v>14598</v>
      </c>
      <c r="N19" s="99">
        <f>I19+D19+'ACP_Agri_9(i)'!D19</f>
        <v>47604.09</v>
      </c>
      <c r="O19" s="99">
        <f>J19+E19+'ACP_Agri_9(i)'!E19</f>
        <v>6248</v>
      </c>
      <c r="P19" s="99">
        <f>K19+F19+'ACP_Agri_9(i)'!F19</f>
        <v>42393.880000000005</v>
      </c>
      <c r="Q19" s="100">
        <f t="shared" si="2"/>
        <v>89.055121104090006</v>
      </c>
      <c r="T19" s="111"/>
    </row>
    <row r="20" spans="1:20" x14ac:dyDescent="0.2">
      <c r="A20" s="57">
        <v>15</v>
      </c>
      <c r="B20" s="98" t="s">
        <v>208</v>
      </c>
      <c r="C20" s="99">
        <v>174</v>
      </c>
      <c r="D20" s="99">
        <v>842</v>
      </c>
      <c r="E20" s="99">
        <v>0</v>
      </c>
      <c r="F20" s="99">
        <v>0</v>
      </c>
      <c r="G20" s="100">
        <f t="shared" si="0"/>
        <v>0</v>
      </c>
      <c r="H20" s="99">
        <v>120</v>
      </c>
      <c r="I20" s="99">
        <v>489</v>
      </c>
      <c r="J20" s="99">
        <v>0</v>
      </c>
      <c r="K20" s="99">
        <v>0</v>
      </c>
      <c r="L20" s="100">
        <f t="shared" si="1"/>
        <v>0</v>
      </c>
      <c r="M20" s="99">
        <f>H20+C20+'ACP_Agri_9(i)'!C20</f>
        <v>6439</v>
      </c>
      <c r="N20" s="99">
        <f>I20+D20+'ACP_Agri_9(i)'!D20</f>
        <v>21381.1</v>
      </c>
      <c r="O20" s="99">
        <f>J20+E20+'ACP_Agri_9(i)'!E20</f>
        <v>95</v>
      </c>
      <c r="P20" s="99">
        <f>K20+F20+'ACP_Agri_9(i)'!F20</f>
        <v>142.74</v>
      </c>
      <c r="Q20" s="100">
        <f t="shared" si="2"/>
        <v>0.66759895421657445</v>
      </c>
      <c r="T20" s="111"/>
    </row>
    <row r="21" spans="1:20" x14ac:dyDescent="0.2">
      <c r="A21" s="57">
        <v>16</v>
      </c>
      <c r="B21" s="98" t="s">
        <v>64</v>
      </c>
      <c r="C21" s="99">
        <v>2210</v>
      </c>
      <c r="D21" s="99">
        <v>10693</v>
      </c>
      <c r="E21" s="99">
        <f>278+1771</f>
        <v>2049</v>
      </c>
      <c r="F21" s="99">
        <v>3437</v>
      </c>
      <c r="G21" s="100">
        <f t="shared" si="0"/>
        <v>32.142523145983354</v>
      </c>
      <c r="H21" s="99">
        <v>1524</v>
      </c>
      <c r="I21" s="99">
        <v>6211</v>
      </c>
      <c r="J21" s="99">
        <v>8155</v>
      </c>
      <c r="K21" s="99">
        <v>20445</v>
      </c>
      <c r="L21" s="100">
        <f t="shared" si="1"/>
        <v>329.17404604733537</v>
      </c>
      <c r="M21" s="99">
        <f>H21+C21+'ACP_Agri_9(i)'!C21</f>
        <v>82310</v>
      </c>
      <c r="N21" s="99">
        <f>I21+D21+'ACP_Agri_9(i)'!D21</f>
        <v>271507.81</v>
      </c>
      <c r="O21" s="99">
        <f>J21+E21+'ACP_Agri_9(i)'!E21</f>
        <v>92379</v>
      </c>
      <c r="P21" s="99">
        <f>K21+F21+'ACP_Agri_9(i)'!F21</f>
        <v>222480</v>
      </c>
      <c r="Q21" s="100">
        <f t="shared" si="2"/>
        <v>81.942394216947207</v>
      </c>
      <c r="T21" s="111"/>
    </row>
    <row r="22" spans="1:20" x14ac:dyDescent="0.2">
      <c r="A22" s="57">
        <v>17</v>
      </c>
      <c r="B22" s="103" t="s">
        <v>69</v>
      </c>
      <c r="C22" s="99">
        <v>2</v>
      </c>
      <c r="D22" s="99">
        <v>9</v>
      </c>
      <c r="E22" s="99">
        <v>0</v>
      </c>
      <c r="F22" s="99">
        <v>0</v>
      </c>
      <c r="G22" s="100">
        <f t="shared" si="0"/>
        <v>0</v>
      </c>
      <c r="H22" s="99">
        <v>1</v>
      </c>
      <c r="I22" s="99">
        <v>5</v>
      </c>
      <c r="J22" s="99">
        <v>0</v>
      </c>
      <c r="K22" s="99">
        <v>0</v>
      </c>
      <c r="L22" s="100">
        <f t="shared" si="1"/>
        <v>0</v>
      </c>
      <c r="M22" s="99">
        <f>H22+C22+'ACP_Agri_9(i)'!C22</f>
        <v>68</v>
      </c>
      <c r="N22" s="99">
        <f>I22+D22+'ACP_Agri_9(i)'!D22</f>
        <v>237.17</v>
      </c>
      <c r="O22" s="99">
        <f>J22+E22+'ACP_Agri_9(i)'!E22</f>
        <v>0</v>
      </c>
      <c r="P22" s="99">
        <f>K22+F22+'ACP_Agri_9(i)'!F22</f>
        <v>0</v>
      </c>
      <c r="Q22" s="100">
        <f t="shared" si="2"/>
        <v>0</v>
      </c>
      <c r="T22" s="111"/>
    </row>
    <row r="23" spans="1:20" x14ac:dyDescent="0.2">
      <c r="A23" s="57">
        <v>18</v>
      </c>
      <c r="B23" s="98" t="s">
        <v>209</v>
      </c>
      <c r="C23" s="99">
        <v>1</v>
      </c>
      <c r="D23" s="99">
        <v>5</v>
      </c>
      <c r="E23" s="99">
        <v>0</v>
      </c>
      <c r="F23" s="99">
        <v>0</v>
      </c>
      <c r="G23" s="100">
        <f t="shared" si="0"/>
        <v>0</v>
      </c>
      <c r="H23" s="99">
        <v>1</v>
      </c>
      <c r="I23" s="99">
        <v>3</v>
      </c>
      <c r="J23" s="99">
        <v>0</v>
      </c>
      <c r="K23" s="99">
        <v>0</v>
      </c>
      <c r="L23" s="100">
        <f t="shared" si="1"/>
        <v>0</v>
      </c>
      <c r="M23" s="99">
        <f>H23+C23+'ACP_Agri_9(i)'!C23</f>
        <v>30</v>
      </c>
      <c r="N23" s="99">
        <f>I23+D23+'ACP_Agri_9(i)'!D23</f>
        <v>134.06</v>
      </c>
      <c r="O23" s="99">
        <f>J23+E23+'ACP_Agri_9(i)'!E23</f>
        <v>0</v>
      </c>
      <c r="P23" s="99">
        <f>K23+F23+'ACP_Agri_9(i)'!F23</f>
        <v>0</v>
      </c>
      <c r="Q23" s="100">
        <f t="shared" si="2"/>
        <v>0</v>
      </c>
      <c r="T23" s="111"/>
    </row>
    <row r="24" spans="1:20" x14ac:dyDescent="0.2">
      <c r="A24" s="57">
        <v>19</v>
      </c>
      <c r="B24" s="104" t="s">
        <v>210</v>
      </c>
      <c r="C24" s="99">
        <v>10</v>
      </c>
      <c r="D24" s="99">
        <v>27</v>
      </c>
      <c r="E24" s="99">
        <v>0</v>
      </c>
      <c r="F24" s="99">
        <v>0</v>
      </c>
      <c r="G24" s="100">
        <f t="shared" si="0"/>
        <v>0</v>
      </c>
      <c r="H24" s="99">
        <v>6</v>
      </c>
      <c r="I24" s="99">
        <v>16</v>
      </c>
      <c r="J24" s="99">
        <v>0</v>
      </c>
      <c r="K24" s="99">
        <v>0</v>
      </c>
      <c r="L24" s="100">
        <f t="shared" si="1"/>
        <v>0</v>
      </c>
      <c r="M24" s="99">
        <f>H24+C24+'ACP_Agri_9(i)'!C24</f>
        <v>337</v>
      </c>
      <c r="N24" s="99">
        <f>I24+D24+'ACP_Agri_9(i)'!D24</f>
        <v>681.35</v>
      </c>
      <c r="O24" s="99">
        <f>J24+E24+'ACP_Agri_9(i)'!E24</f>
        <v>0</v>
      </c>
      <c r="P24" s="99">
        <f>K24+F24+'ACP_Agri_9(i)'!F24</f>
        <v>0</v>
      </c>
      <c r="Q24" s="100">
        <f t="shared" si="2"/>
        <v>0</v>
      </c>
      <c r="T24" s="111"/>
    </row>
    <row r="25" spans="1:20" x14ac:dyDescent="0.2">
      <c r="A25" s="57">
        <v>20</v>
      </c>
      <c r="B25" s="98" t="s">
        <v>211</v>
      </c>
      <c r="C25" s="99">
        <v>4</v>
      </c>
      <c r="D25" s="99">
        <v>18</v>
      </c>
      <c r="E25" s="99">
        <v>0</v>
      </c>
      <c r="F25" s="99">
        <v>0</v>
      </c>
      <c r="G25" s="100">
        <f t="shared" si="0"/>
        <v>0</v>
      </c>
      <c r="H25" s="99">
        <v>2</v>
      </c>
      <c r="I25" s="99">
        <v>11</v>
      </c>
      <c r="J25" s="99">
        <v>0</v>
      </c>
      <c r="K25" s="99">
        <v>0</v>
      </c>
      <c r="L25" s="100">
        <f t="shared" si="1"/>
        <v>0</v>
      </c>
      <c r="M25" s="99">
        <f>H25+C25+'ACP_Agri_9(i)'!C25</f>
        <v>131</v>
      </c>
      <c r="N25" s="99">
        <f>I25+D25+'ACP_Agri_9(i)'!D25</f>
        <v>464.81</v>
      </c>
      <c r="O25" s="99">
        <f>J25+E25+'ACP_Agri_9(i)'!E25</f>
        <v>0</v>
      </c>
      <c r="P25" s="99">
        <f>K25+F25+'ACP_Agri_9(i)'!F25</f>
        <v>0</v>
      </c>
      <c r="Q25" s="100">
        <f t="shared" si="2"/>
        <v>0</v>
      </c>
      <c r="T25" s="111"/>
    </row>
    <row r="26" spans="1:20" x14ac:dyDescent="0.2">
      <c r="A26" s="57">
        <v>21</v>
      </c>
      <c r="B26" s="98" t="s">
        <v>212</v>
      </c>
      <c r="C26" s="99">
        <v>22</v>
      </c>
      <c r="D26" s="99">
        <v>123</v>
      </c>
      <c r="E26" s="99">
        <v>0</v>
      </c>
      <c r="F26" s="99">
        <v>0</v>
      </c>
      <c r="G26" s="100">
        <f t="shared" si="0"/>
        <v>0</v>
      </c>
      <c r="H26" s="99">
        <v>15</v>
      </c>
      <c r="I26" s="99">
        <v>71</v>
      </c>
      <c r="J26" s="99">
        <v>10</v>
      </c>
      <c r="K26" s="99">
        <v>25</v>
      </c>
      <c r="L26" s="100">
        <f t="shared" si="1"/>
        <v>35.2112676056338</v>
      </c>
      <c r="M26" s="99">
        <f>H26+C26+'ACP_Agri_9(i)'!C26</f>
        <v>796</v>
      </c>
      <c r="N26" s="99">
        <f>I26+D26+'ACP_Agri_9(i)'!D26</f>
        <v>3114.9</v>
      </c>
      <c r="O26" s="99">
        <f>J26+E26+'ACP_Agri_9(i)'!E26</f>
        <v>306</v>
      </c>
      <c r="P26" s="99">
        <f>K26+F26+'ACP_Agri_9(i)'!F26</f>
        <v>274</v>
      </c>
      <c r="Q26" s="100">
        <f t="shared" si="2"/>
        <v>8.7964300619602547</v>
      </c>
      <c r="T26" s="111"/>
    </row>
    <row r="27" spans="1:20" x14ac:dyDescent="0.2">
      <c r="A27" s="57">
        <v>22</v>
      </c>
      <c r="B27" s="98" t="s">
        <v>70</v>
      </c>
      <c r="C27" s="99">
        <v>16282</v>
      </c>
      <c r="D27" s="99">
        <v>77569</v>
      </c>
      <c r="E27" s="99">
        <f>1022-348</f>
        <v>674</v>
      </c>
      <c r="F27" s="99">
        <f>6123-2248</f>
        <v>3875</v>
      </c>
      <c r="G27" s="100">
        <f t="shared" si="0"/>
        <v>4.9955523469427217</v>
      </c>
      <c r="H27" s="99">
        <v>11224</v>
      </c>
      <c r="I27" s="99">
        <v>45056</v>
      </c>
      <c r="J27" s="99">
        <v>3859</v>
      </c>
      <c r="K27" s="99">
        <v>13851</v>
      </c>
      <c r="L27" s="100">
        <f t="shared" si="1"/>
        <v>30.741743607954547</v>
      </c>
      <c r="M27" s="99">
        <f>H27+C27+'ACP_Agri_9(i)'!C27</f>
        <v>606624</v>
      </c>
      <c r="N27" s="99">
        <f>I27+D27+'ACP_Agri_9(i)'!D27</f>
        <v>1968868.46</v>
      </c>
      <c r="O27" s="99">
        <f>J27+E27+'ACP_Agri_9(i)'!E27</f>
        <v>380540</v>
      </c>
      <c r="P27" s="99">
        <f>K27+F27+'ACP_Agri_9(i)'!F27</f>
        <v>772601</v>
      </c>
      <c r="Q27" s="100">
        <f t="shared" si="2"/>
        <v>39.240864267793697</v>
      </c>
      <c r="T27" s="111"/>
    </row>
    <row r="28" spans="1:20" x14ac:dyDescent="0.2">
      <c r="A28" s="57">
        <v>23</v>
      </c>
      <c r="B28" s="98" t="s">
        <v>65</v>
      </c>
      <c r="C28" s="99">
        <v>432</v>
      </c>
      <c r="D28" s="99">
        <v>1672</v>
      </c>
      <c r="E28" s="99">
        <v>23</v>
      </c>
      <c r="F28" s="99">
        <v>497</v>
      </c>
      <c r="G28" s="100">
        <f t="shared" si="0"/>
        <v>29.724880382775119</v>
      </c>
      <c r="H28" s="99">
        <v>298</v>
      </c>
      <c r="I28" s="99">
        <v>971</v>
      </c>
      <c r="J28" s="99">
        <v>32</v>
      </c>
      <c r="K28" s="99">
        <v>322</v>
      </c>
      <c r="L28" s="100">
        <f t="shared" si="1"/>
        <v>33.161688980432544</v>
      </c>
      <c r="M28" s="99">
        <f>H28+C28+'ACP_Agri_9(i)'!C28</f>
        <v>16104</v>
      </c>
      <c r="N28" s="99">
        <f>I28+D28+'ACP_Agri_9(i)'!D28</f>
        <v>42456.05</v>
      </c>
      <c r="O28" s="99">
        <f>J28+E28+'ACP_Agri_9(i)'!E28</f>
        <v>8642</v>
      </c>
      <c r="P28" s="99">
        <f>K28+F28+'ACP_Agri_9(i)'!F28</f>
        <v>12990</v>
      </c>
      <c r="Q28" s="100">
        <f t="shared" si="2"/>
        <v>30.596346103794392</v>
      </c>
      <c r="T28" s="111"/>
    </row>
    <row r="29" spans="1:20" x14ac:dyDescent="0.2">
      <c r="A29" s="57">
        <v>24</v>
      </c>
      <c r="B29" s="98" t="s">
        <v>213</v>
      </c>
      <c r="C29" s="99">
        <v>1166</v>
      </c>
      <c r="D29" s="99">
        <v>5514</v>
      </c>
      <c r="E29" s="99">
        <v>27</v>
      </c>
      <c r="F29" s="99">
        <v>85</v>
      </c>
      <c r="G29" s="100">
        <f t="shared" si="0"/>
        <v>1.5415306492564382</v>
      </c>
      <c r="H29" s="99">
        <v>804</v>
      </c>
      <c r="I29" s="99">
        <v>3203</v>
      </c>
      <c r="J29" s="99">
        <v>557</v>
      </c>
      <c r="K29" s="99">
        <v>939</v>
      </c>
      <c r="L29" s="100">
        <f t="shared" si="1"/>
        <v>29.316266000624413</v>
      </c>
      <c r="M29" s="99">
        <f>H29+C29+'ACP_Agri_9(i)'!C29</f>
        <v>43428</v>
      </c>
      <c r="N29" s="99">
        <f>I29+D29+'ACP_Agri_9(i)'!D29</f>
        <v>140007.79999999999</v>
      </c>
      <c r="O29" s="99">
        <f>J29+E29+'ACP_Agri_9(i)'!E29</f>
        <v>3230</v>
      </c>
      <c r="P29" s="99">
        <f>K29+F29+'ACP_Agri_9(i)'!F29</f>
        <v>7392</v>
      </c>
      <c r="Q29" s="100">
        <f t="shared" si="2"/>
        <v>5.2797058449600671</v>
      </c>
      <c r="T29" s="111"/>
    </row>
    <row r="30" spans="1:20" x14ac:dyDescent="0.2">
      <c r="A30" s="57">
        <v>25</v>
      </c>
      <c r="B30" s="101" t="s">
        <v>66</v>
      </c>
      <c r="C30" s="99">
        <v>2500</v>
      </c>
      <c r="D30" s="99">
        <v>8824</v>
      </c>
      <c r="E30" s="99">
        <v>232</v>
      </c>
      <c r="F30" s="99">
        <v>1210</v>
      </c>
      <c r="G30" s="100">
        <f t="shared" si="0"/>
        <v>13.712601994560289</v>
      </c>
      <c r="H30" s="99">
        <v>1724</v>
      </c>
      <c r="I30" s="99">
        <v>5125</v>
      </c>
      <c r="J30" s="99">
        <v>504</v>
      </c>
      <c r="K30" s="99">
        <v>7621</v>
      </c>
      <c r="L30" s="100">
        <f t="shared" si="1"/>
        <v>148.70243902439023</v>
      </c>
      <c r="M30" s="99">
        <f>H30+C30+'ACP_Agri_9(i)'!C30</f>
        <v>93138</v>
      </c>
      <c r="N30" s="99">
        <f>I30+D30+'ACP_Agri_9(i)'!D30</f>
        <v>224049.66</v>
      </c>
      <c r="O30" s="99">
        <f>J30+E30+'ACP_Agri_9(i)'!E30</f>
        <v>37724</v>
      </c>
      <c r="P30" s="99">
        <f>K30+F30+'ACP_Agri_9(i)'!F30</f>
        <v>152372</v>
      </c>
      <c r="Q30" s="100">
        <f t="shared" si="2"/>
        <v>68.008137124599969</v>
      </c>
      <c r="T30" s="111"/>
    </row>
    <row r="31" spans="1:20" x14ac:dyDescent="0.2">
      <c r="A31" s="57">
        <v>26</v>
      </c>
      <c r="B31" s="98" t="s">
        <v>67</v>
      </c>
      <c r="C31" s="99">
        <v>30</v>
      </c>
      <c r="D31" s="99">
        <v>114</v>
      </c>
      <c r="E31" s="99">
        <v>0</v>
      </c>
      <c r="F31" s="99">
        <v>0</v>
      </c>
      <c r="G31" s="100">
        <f t="shared" si="0"/>
        <v>0</v>
      </c>
      <c r="H31" s="99">
        <v>20</v>
      </c>
      <c r="I31" s="99">
        <v>66</v>
      </c>
      <c r="J31" s="99">
        <v>20</v>
      </c>
      <c r="K31" s="99">
        <v>66</v>
      </c>
      <c r="L31" s="100">
        <f t="shared" si="1"/>
        <v>100</v>
      </c>
      <c r="M31" s="99">
        <f>H31+C31+'ACP_Agri_9(i)'!C31</f>
        <v>1068</v>
      </c>
      <c r="N31" s="99">
        <f>I31+D31+'ACP_Agri_9(i)'!D31</f>
        <v>2883.56</v>
      </c>
      <c r="O31" s="99">
        <f>J31+E31+'ACP_Agri_9(i)'!E31</f>
        <v>55</v>
      </c>
      <c r="P31" s="99">
        <f>K31+F31+'ACP_Agri_9(i)'!F31</f>
        <v>78</v>
      </c>
      <c r="Q31" s="100">
        <f t="shared" si="2"/>
        <v>2.7049896655523034</v>
      </c>
      <c r="T31" s="111"/>
    </row>
    <row r="32" spans="1:20" x14ac:dyDescent="0.2">
      <c r="A32" s="57">
        <v>27</v>
      </c>
      <c r="B32" s="98" t="s">
        <v>50</v>
      </c>
      <c r="C32" s="99">
        <v>118</v>
      </c>
      <c r="D32" s="99">
        <v>552</v>
      </c>
      <c r="E32" s="99">
        <v>66</v>
      </c>
      <c r="F32" s="99">
        <v>154</v>
      </c>
      <c r="G32" s="100">
        <f t="shared" si="0"/>
        <v>27.89855072463768</v>
      </c>
      <c r="H32" s="99">
        <v>82</v>
      </c>
      <c r="I32" s="99">
        <v>321</v>
      </c>
      <c r="J32" s="99">
        <v>157</v>
      </c>
      <c r="K32" s="99">
        <v>240</v>
      </c>
      <c r="L32" s="100">
        <f t="shared" si="1"/>
        <v>74.766355140186917</v>
      </c>
      <c r="M32" s="99">
        <f>H32+C32+'ACP_Agri_9(i)'!C32</f>
        <v>4366</v>
      </c>
      <c r="N32" s="99">
        <f>I32+D32+'ACP_Agri_9(i)'!D32</f>
        <v>14019.41</v>
      </c>
      <c r="O32" s="99">
        <f>J32+E32+'ACP_Agri_9(i)'!E32</f>
        <v>3723</v>
      </c>
      <c r="P32" s="99">
        <f>K32+F32+'ACP_Agri_9(i)'!F32</f>
        <v>4672</v>
      </c>
      <c r="Q32" s="100">
        <f t="shared" si="2"/>
        <v>33.325225526609181</v>
      </c>
      <c r="T32" s="111"/>
    </row>
    <row r="33" spans="1:20" s="108" customFormat="1" x14ac:dyDescent="0.2">
      <c r="A33" s="317"/>
      <c r="B33" s="105" t="s">
        <v>214</v>
      </c>
      <c r="C33" s="106">
        <f>SUM(C6:C32)</f>
        <v>39165</v>
      </c>
      <c r="D33" s="106">
        <f t="shared" ref="D33:N33" si="3">SUM(D6:D32)</f>
        <v>181665</v>
      </c>
      <c r="E33" s="106">
        <f t="shared" si="3"/>
        <v>19758</v>
      </c>
      <c r="F33" s="106">
        <f t="shared" si="3"/>
        <v>63295.88</v>
      </c>
      <c r="G33" s="97">
        <f t="shared" si="0"/>
        <v>34.842088459527154</v>
      </c>
      <c r="H33" s="106">
        <f t="shared" si="3"/>
        <v>29989</v>
      </c>
      <c r="I33" s="106">
        <f t="shared" si="3"/>
        <v>105505</v>
      </c>
      <c r="J33" s="106">
        <f t="shared" si="3"/>
        <v>37141</v>
      </c>
      <c r="K33" s="106">
        <f t="shared" si="3"/>
        <v>113493.4</v>
      </c>
      <c r="L33" s="97">
        <f t="shared" si="1"/>
        <v>107.57158428510498</v>
      </c>
      <c r="M33" s="106">
        <f t="shared" si="3"/>
        <v>1461408</v>
      </c>
      <c r="N33" s="106">
        <f t="shared" si="3"/>
        <v>4611424.26</v>
      </c>
      <c r="O33" s="106">
        <f>J33+E33+'ACP_Agri_9(i)'!E33</f>
        <v>1171880</v>
      </c>
      <c r="P33" s="106">
        <f>K33+F33+'ACP_Agri_9(i)'!F33</f>
        <v>2399793.7899999996</v>
      </c>
      <c r="Q33" s="97">
        <f t="shared" si="2"/>
        <v>52.040186603867149</v>
      </c>
      <c r="R33" s="111"/>
      <c r="T33" s="111"/>
    </row>
    <row r="34" spans="1:20" x14ac:dyDescent="0.2">
      <c r="A34" s="57">
        <v>28</v>
      </c>
      <c r="B34" s="98" t="s">
        <v>47</v>
      </c>
      <c r="C34" s="99">
        <v>644</v>
      </c>
      <c r="D34" s="99">
        <v>2736</v>
      </c>
      <c r="E34" s="99">
        <f>266-245</f>
        <v>21</v>
      </c>
      <c r="F34" s="99">
        <v>1188.22</v>
      </c>
      <c r="G34" s="100">
        <f t="shared" si="0"/>
        <v>43.429093567251464</v>
      </c>
      <c r="H34" s="99">
        <v>444</v>
      </c>
      <c r="I34" s="99">
        <v>1589</v>
      </c>
      <c r="J34" s="99">
        <v>19</v>
      </c>
      <c r="K34" s="99">
        <v>347.72</v>
      </c>
      <c r="L34" s="100">
        <f t="shared" si="1"/>
        <v>21.882945248584015</v>
      </c>
      <c r="M34" s="99">
        <f>H34+C34+'ACP_Agri_9(i)'!C34</f>
        <v>23960</v>
      </c>
      <c r="N34" s="99">
        <f>I34+D34+'ACP_Agri_9(i)'!D34</f>
        <v>69477.83</v>
      </c>
      <c r="O34" s="99">
        <f>J34+E34+'ACP_Agri_9(i)'!E34</f>
        <v>92628</v>
      </c>
      <c r="P34" s="99">
        <f>K34+F34+'ACP_Agri_9(i)'!F34</f>
        <v>36073.94</v>
      </c>
      <c r="Q34" s="100">
        <f t="shared" si="2"/>
        <v>51.92151222915281</v>
      </c>
      <c r="T34" s="111"/>
    </row>
    <row r="35" spans="1:20" x14ac:dyDescent="0.2">
      <c r="A35" s="57">
        <v>29</v>
      </c>
      <c r="B35" s="58" t="s">
        <v>215</v>
      </c>
      <c r="C35" s="99">
        <v>112</v>
      </c>
      <c r="D35" s="99">
        <v>173</v>
      </c>
      <c r="E35" s="99">
        <v>0</v>
      </c>
      <c r="F35" s="99">
        <v>0</v>
      </c>
      <c r="G35" s="100">
        <f t="shared" si="0"/>
        <v>0</v>
      </c>
      <c r="H35" s="99">
        <v>32</v>
      </c>
      <c r="I35" s="99">
        <v>128</v>
      </c>
      <c r="J35" s="99">
        <v>0</v>
      </c>
      <c r="K35" s="99">
        <v>0</v>
      </c>
      <c r="L35" s="100">
        <f t="shared" si="1"/>
        <v>0</v>
      </c>
      <c r="M35" s="99">
        <f>H35+C35+'ACP_Agri_9(i)'!C35</f>
        <v>839</v>
      </c>
      <c r="N35" s="99">
        <f>I35+D35+'ACP_Agri_9(i)'!D35</f>
        <v>817.98</v>
      </c>
      <c r="O35" s="99">
        <f>J35+E35+'ACP_Agri_9(i)'!E35</f>
        <v>0</v>
      </c>
      <c r="P35" s="99">
        <f>K35+F35+'ACP_Agri_9(i)'!F35</f>
        <v>0</v>
      </c>
      <c r="Q35" s="100">
        <f t="shared" si="2"/>
        <v>0</v>
      </c>
      <c r="T35" s="111"/>
    </row>
    <row r="36" spans="1:20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100">
        <v>0</v>
      </c>
      <c r="H36" s="99"/>
      <c r="I36" s="99"/>
      <c r="J36" s="99">
        <v>0</v>
      </c>
      <c r="K36" s="99">
        <v>0</v>
      </c>
      <c r="L36" s="100">
        <v>0</v>
      </c>
      <c r="M36" s="99">
        <f>H36+C36+'ACP_Agri_9(i)'!C36</f>
        <v>0</v>
      </c>
      <c r="N36" s="99">
        <f>I36+D36+'ACP_Agri_9(i)'!D36</f>
        <v>0</v>
      </c>
      <c r="O36" s="99">
        <f>J36+E36+'ACP_Agri_9(i)'!E36</f>
        <v>0</v>
      </c>
      <c r="P36" s="99">
        <f>K36+F36+'ACP_Agri_9(i)'!F36</f>
        <v>0</v>
      </c>
      <c r="Q36" s="100">
        <v>0</v>
      </c>
      <c r="T36" s="111"/>
    </row>
    <row r="37" spans="1:20" x14ac:dyDescent="0.2">
      <c r="A37" s="57">
        <v>31</v>
      </c>
      <c r="B37" s="98" t="s">
        <v>78</v>
      </c>
      <c r="C37" s="99">
        <v>0</v>
      </c>
      <c r="D37" s="99">
        <v>0</v>
      </c>
      <c r="E37" s="99">
        <v>0</v>
      </c>
      <c r="F37" s="99">
        <v>0</v>
      </c>
      <c r="G37" s="100">
        <v>0</v>
      </c>
      <c r="H37" s="99"/>
      <c r="I37" s="99"/>
      <c r="J37" s="99">
        <v>0</v>
      </c>
      <c r="K37" s="99">
        <v>0</v>
      </c>
      <c r="L37" s="100">
        <v>0</v>
      </c>
      <c r="M37" s="99">
        <f>H37+C37+'ACP_Agri_9(i)'!C37</f>
        <v>0</v>
      </c>
      <c r="N37" s="99">
        <f>I37+D37+'ACP_Agri_9(i)'!D37</f>
        <v>0</v>
      </c>
      <c r="O37" s="99">
        <f>J37+E37+'ACP_Agri_9(i)'!E37</f>
        <v>0</v>
      </c>
      <c r="P37" s="99">
        <f>K37+F37+'ACP_Agri_9(i)'!F37</f>
        <v>0</v>
      </c>
      <c r="Q37" s="100">
        <v>0</v>
      </c>
      <c r="T37" s="111"/>
    </row>
    <row r="38" spans="1:20" x14ac:dyDescent="0.2">
      <c r="A38" s="57">
        <v>32</v>
      </c>
      <c r="B38" s="98" t="s">
        <v>51</v>
      </c>
      <c r="C38" s="99">
        <v>0</v>
      </c>
      <c r="D38" s="99">
        <v>0</v>
      </c>
      <c r="E38" s="99">
        <v>0</v>
      </c>
      <c r="F38" s="99">
        <v>0</v>
      </c>
      <c r="G38" s="100">
        <v>0</v>
      </c>
      <c r="H38" s="99">
        <v>0</v>
      </c>
      <c r="I38" s="99">
        <v>0</v>
      </c>
      <c r="J38" s="99">
        <v>1</v>
      </c>
      <c r="K38" s="99">
        <v>8.48</v>
      </c>
      <c r="L38" s="100">
        <v>0</v>
      </c>
      <c r="M38" s="99">
        <f>H38+C38+'ACP_Agri_9(i)'!C38</f>
        <v>0</v>
      </c>
      <c r="N38" s="99">
        <f>I38+D38+'ACP_Agri_9(i)'!D38</f>
        <v>0</v>
      </c>
      <c r="O38" s="99">
        <f>J38+E38+'ACP_Agri_9(i)'!E38</f>
        <v>1</v>
      </c>
      <c r="P38" s="99">
        <f>K38+F38+'ACP_Agri_9(i)'!F38</f>
        <v>8.48</v>
      </c>
      <c r="Q38" s="100">
        <v>0</v>
      </c>
      <c r="T38" s="111"/>
    </row>
    <row r="39" spans="1:20" x14ac:dyDescent="0.2">
      <c r="A39" s="57">
        <v>33</v>
      </c>
      <c r="B39" s="98" t="s">
        <v>217</v>
      </c>
      <c r="C39" s="99">
        <v>11</v>
      </c>
      <c r="D39" s="99">
        <v>37</v>
      </c>
      <c r="E39" s="99">
        <v>0</v>
      </c>
      <c r="F39" s="99">
        <v>0</v>
      </c>
      <c r="G39" s="100">
        <f t="shared" si="0"/>
        <v>0</v>
      </c>
      <c r="H39" s="99">
        <v>8</v>
      </c>
      <c r="I39" s="99">
        <v>21</v>
      </c>
      <c r="J39" s="99">
        <v>0</v>
      </c>
      <c r="K39" s="99">
        <v>0</v>
      </c>
      <c r="L39" s="100">
        <f t="shared" si="1"/>
        <v>0</v>
      </c>
      <c r="M39" s="99">
        <f>H39+C39+'ACP_Agri_9(i)'!C39</f>
        <v>420</v>
      </c>
      <c r="N39" s="99">
        <f>I39+D39+'ACP_Agri_9(i)'!D39</f>
        <v>931.08</v>
      </c>
      <c r="O39" s="99">
        <f>J39+E39+'ACP_Agri_9(i)'!E39</f>
        <v>0</v>
      </c>
      <c r="P39" s="99">
        <f>K39+F39+'ACP_Agri_9(i)'!F39</f>
        <v>0</v>
      </c>
      <c r="Q39" s="100">
        <f t="shared" si="2"/>
        <v>0</v>
      </c>
      <c r="T39" s="111"/>
    </row>
    <row r="40" spans="1:20" x14ac:dyDescent="0.2">
      <c r="A40" s="57">
        <v>34</v>
      </c>
      <c r="B40" s="98" t="s">
        <v>218</v>
      </c>
      <c r="C40" s="99">
        <v>1</v>
      </c>
      <c r="D40" s="99">
        <v>5</v>
      </c>
      <c r="E40" s="99">
        <v>0</v>
      </c>
      <c r="F40" s="99">
        <v>0</v>
      </c>
      <c r="G40" s="100">
        <f t="shared" si="0"/>
        <v>0</v>
      </c>
      <c r="H40" s="99">
        <v>1</v>
      </c>
      <c r="I40" s="99">
        <v>3</v>
      </c>
      <c r="J40" s="99">
        <v>0</v>
      </c>
      <c r="K40" s="99">
        <v>0</v>
      </c>
      <c r="L40" s="100">
        <f t="shared" si="1"/>
        <v>0</v>
      </c>
      <c r="M40" s="99">
        <f>H40+C40+'ACP_Agri_9(i)'!C40</f>
        <v>30</v>
      </c>
      <c r="N40" s="99">
        <f>I40+D40+'ACP_Agri_9(i)'!D40</f>
        <v>134.06</v>
      </c>
      <c r="O40" s="99">
        <f>J40+E40+'ACP_Agri_9(i)'!E40</f>
        <v>0</v>
      </c>
      <c r="P40" s="99">
        <f>K40+F40+'ACP_Agri_9(i)'!F40</f>
        <v>0</v>
      </c>
      <c r="Q40" s="100">
        <f t="shared" si="2"/>
        <v>0</v>
      </c>
      <c r="T40" s="111"/>
    </row>
    <row r="41" spans="1:20" x14ac:dyDescent="0.2">
      <c r="A41" s="57">
        <v>35</v>
      </c>
      <c r="B41" s="98" t="s">
        <v>219</v>
      </c>
      <c r="C41" s="99">
        <v>20</v>
      </c>
      <c r="D41" s="99">
        <v>115</v>
      </c>
      <c r="E41" s="99">
        <v>5</v>
      </c>
      <c r="F41" s="99">
        <v>523.34</v>
      </c>
      <c r="G41" s="100">
        <f t="shared" si="0"/>
        <v>455.07826086956521</v>
      </c>
      <c r="H41" s="99">
        <v>14</v>
      </c>
      <c r="I41" s="99">
        <v>67</v>
      </c>
      <c r="J41" s="99">
        <v>1173</v>
      </c>
      <c r="K41" s="99">
        <v>2323.54</v>
      </c>
      <c r="L41" s="100">
        <f t="shared" si="1"/>
        <v>3467.9701492537315</v>
      </c>
      <c r="M41" s="99">
        <f>H41+C41+'ACP_Agri_9(i)'!C41</f>
        <v>706</v>
      </c>
      <c r="N41" s="99">
        <f>I41+D41+'ACP_Agri_9(i)'!D41</f>
        <v>2918.89</v>
      </c>
      <c r="O41" s="99">
        <f>J41+E41+'ACP_Agri_9(i)'!E41</f>
        <v>2684</v>
      </c>
      <c r="P41" s="99">
        <f>K41+F41+'ACP_Agri_9(i)'!F41</f>
        <v>5269.25</v>
      </c>
      <c r="Q41" s="100">
        <f t="shared" si="2"/>
        <v>180.52239036071933</v>
      </c>
      <c r="T41" s="111"/>
    </row>
    <row r="42" spans="1:20" x14ac:dyDescent="0.2">
      <c r="A42" s="57">
        <v>36</v>
      </c>
      <c r="B42" s="98" t="s">
        <v>71</v>
      </c>
      <c r="C42" s="99">
        <v>830</v>
      </c>
      <c r="D42" s="99">
        <v>4638</v>
      </c>
      <c r="E42" s="99">
        <v>14</v>
      </c>
      <c r="F42" s="99">
        <v>199</v>
      </c>
      <c r="G42" s="100">
        <f t="shared" si="0"/>
        <v>4.2906425183268651</v>
      </c>
      <c r="H42" s="99">
        <v>572</v>
      </c>
      <c r="I42" s="99">
        <v>2694</v>
      </c>
      <c r="J42" s="99">
        <v>700</v>
      </c>
      <c r="K42" s="99">
        <v>40541</v>
      </c>
      <c r="L42" s="100">
        <f t="shared" si="1"/>
        <v>1504.8626577579807</v>
      </c>
      <c r="M42" s="99">
        <f>H42+C42+'ACP_Agri_9(i)'!C42</f>
        <v>30928</v>
      </c>
      <c r="N42" s="99">
        <f>I42+D42+'ACP_Agri_9(i)'!D42</f>
        <v>117760.58</v>
      </c>
      <c r="O42" s="99">
        <f>J42+E42+'ACP_Agri_9(i)'!E42</f>
        <v>39275</v>
      </c>
      <c r="P42" s="99">
        <f>K42+F42+'ACP_Agri_9(i)'!F42</f>
        <v>172955</v>
      </c>
      <c r="Q42" s="100">
        <f t="shared" si="2"/>
        <v>146.87003070127543</v>
      </c>
      <c r="T42" s="111"/>
    </row>
    <row r="43" spans="1:20" x14ac:dyDescent="0.2">
      <c r="A43" s="57">
        <v>37</v>
      </c>
      <c r="B43" s="98" t="s">
        <v>72</v>
      </c>
      <c r="C43" s="99">
        <v>868</v>
      </c>
      <c r="D43" s="99">
        <v>4431</v>
      </c>
      <c r="E43" s="99">
        <v>235</v>
      </c>
      <c r="F43" s="99">
        <f>4080-3285</f>
        <v>795</v>
      </c>
      <c r="G43" s="100">
        <f t="shared" si="0"/>
        <v>17.941773865944484</v>
      </c>
      <c r="H43" s="99">
        <v>566</v>
      </c>
      <c r="I43" s="99">
        <v>2573</v>
      </c>
      <c r="J43" s="99">
        <v>157</v>
      </c>
      <c r="K43" s="99">
        <f>19493-18963</f>
        <v>530</v>
      </c>
      <c r="L43" s="100">
        <f t="shared" si="1"/>
        <v>20.598523124757094</v>
      </c>
      <c r="M43" s="99">
        <f>H43+C43+'ACP_Agri_9(i)'!C43</f>
        <v>32319</v>
      </c>
      <c r="N43" s="99">
        <f>I43+D43+'ACP_Agri_9(i)'!D43</f>
        <v>112497.41</v>
      </c>
      <c r="O43" s="99">
        <f>J43+E43+'ACP_Agri_9(i)'!E43</f>
        <v>78435</v>
      </c>
      <c r="P43" s="99">
        <f>K43+F43+'ACP_Agri_9(i)'!F43</f>
        <v>159086</v>
      </c>
      <c r="Q43" s="100">
        <f t="shared" si="2"/>
        <v>141.4130334200583</v>
      </c>
      <c r="T43" s="111"/>
    </row>
    <row r="44" spans="1:20" x14ac:dyDescent="0.2">
      <c r="A44" s="57">
        <v>38</v>
      </c>
      <c r="B44" s="98" t="s">
        <v>220</v>
      </c>
      <c r="C44" s="99">
        <v>0</v>
      </c>
      <c r="D44" s="99">
        <v>0</v>
      </c>
      <c r="E44" s="99">
        <v>0</v>
      </c>
      <c r="F44" s="99">
        <v>0</v>
      </c>
      <c r="G44" s="100">
        <v>0</v>
      </c>
      <c r="H44" s="99"/>
      <c r="I44" s="99"/>
      <c r="J44" s="99">
        <v>0</v>
      </c>
      <c r="K44" s="99">
        <v>0</v>
      </c>
      <c r="L44" s="100">
        <v>0</v>
      </c>
      <c r="M44" s="99">
        <f>H44+C44+'ACP_Agri_9(i)'!C44</f>
        <v>0</v>
      </c>
      <c r="N44" s="99">
        <f>I44+D44+'ACP_Agri_9(i)'!D44</f>
        <v>0</v>
      </c>
      <c r="O44" s="99">
        <f>J44+E44+'ACP_Agri_9(i)'!E44</f>
        <v>53924</v>
      </c>
      <c r="P44" s="99">
        <f>K44+F44+'ACP_Agri_9(i)'!F44</f>
        <v>2316</v>
      </c>
      <c r="Q44" s="100">
        <v>0</v>
      </c>
      <c r="T44" s="111"/>
    </row>
    <row r="45" spans="1:20" x14ac:dyDescent="0.2">
      <c r="A45" s="57">
        <v>39</v>
      </c>
      <c r="B45" s="98" t="s">
        <v>221</v>
      </c>
      <c r="C45" s="99">
        <v>72</v>
      </c>
      <c r="D45" s="99">
        <v>248</v>
      </c>
      <c r="E45" s="99">
        <v>0</v>
      </c>
      <c r="F45" s="99">
        <v>0</v>
      </c>
      <c r="G45" s="100">
        <f t="shared" si="0"/>
        <v>0</v>
      </c>
      <c r="H45" s="99">
        <v>50</v>
      </c>
      <c r="I45" s="99">
        <v>144</v>
      </c>
      <c r="J45" s="99">
        <v>13</v>
      </c>
      <c r="K45" s="99">
        <v>2669</v>
      </c>
      <c r="L45" s="100">
        <f t="shared" si="1"/>
        <v>1853.4722222222222</v>
      </c>
      <c r="M45" s="99">
        <f>H45+C45+'ACP_Agri_9(i)'!C45</f>
        <v>2639</v>
      </c>
      <c r="N45" s="99">
        <f>I45+D45+'ACP_Agri_9(i)'!D45</f>
        <v>6304.73</v>
      </c>
      <c r="O45" s="99">
        <f>J45+E45+'ACP_Agri_9(i)'!E45</f>
        <v>8149</v>
      </c>
      <c r="P45" s="99">
        <f>K45+F45+'ACP_Agri_9(i)'!F45</f>
        <v>18965</v>
      </c>
      <c r="Q45" s="100">
        <f t="shared" si="2"/>
        <v>300.80590286975018</v>
      </c>
      <c r="T45" s="111"/>
    </row>
    <row r="46" spans="1:20" x14ac:dyDescent="0.2">
      <c r="A46" s="57">
        <v>40</v>
      </c>
      <c r="B46" s="98" t="s">
        <v>222</v>
      </c>
      <c r="C46" s="99">
        <v>2</v>
      </c>
      <c r="D46" s="99">
        <v>13</v>
      </c>
      <c r="E46" s="99">
        <v>0</v>
      </c>
      <c r="F46" s="99">
        <v>0</v>
      </c>
      <c r="G46" s="100">
        <f t="shared" si="0"/>
        <v>0</v>
      </c>
      <c r="H46" s="99">
        <v>1</v>
      </c>
      <c r="I46" s="99">
        <v>8</v>
      </c>
      <c r="J46" s="99">
        <v>0</v>
      </c>
      <c r="K46" s="99">
        <v>0</v>
      </c>
      <c r="L46" s="100">
        <f t="shared" si="1"/>
        <v>0</v>
      </c>
      <c r="M46" s="99">
        <f>H46+C46+'ACP_Agri_9(i)'!C46</f>
        <v>77</v>
      </c>
      <c r="N46" s="99">
        <f>I46+D46+'ACP_Agri_9(i)'!D46</f>
        <v>340.68</v>
      </c>
      <c r="O46" s="99">
        <f>J46+E46+'ACP_Agri_9(i)'!E46</f>
        <v>0</v>
      </c>
      <c r="P46" s="99">
        <f>K46+F46+'ACP_Agri_9(i)'!F46</f>
        <v>0</v>
      </c>
      <c r="Q46" s="100">
        <f t="shared" si="2"/>
        <v>0</v>
      </c>
      <c r="T46" s="111"/>
    </row>
    <row r="47" spans="1:20" x14ac:dyDescent="0.2">
      <c r="A47" s="57">
        <v>41</v>
      </c>
      <c r="B47" s="98" t="s">
        <v>223</v>
      </c>
      <c r="C47" s="99">
        <v>12</v>
      </c>
      <c r="D47" s="99">
        <v>46</v>
      </c>
      <c r="E47" s="99">
        <v>7</v>
      </c>
      <c r="F47" s="99">
        <v>244.78</v>
      </c>
      <c r="G47" s="100">
        <f t="shared" si="0"/>
        <v>532.13043478260875</v>
      </c>
      <c r="H47" s="99">
        <v>8</v>
      </c>
      <c r="I47" s="99">
        <v>27</v>
      </c>
      <c r="J47" s="99">
        <v>4</v>
      </c>
      <c r="K47" s="99">
        <v>122</v>
      </c>
      <c r="L47" s="100">
        <f t="shared" si="1"/>
        <v>451.85185185185185</v>
      </c>
      <c r="M47" s="99">
        <f>H47+C47+'ACP_Agri_9(i)'!C47</f>
        <v>404</v>
      </c>
      <c r="N47" s="99">
        <f>I47+D47+'ACP_Agri_9(i)'!D47</f>
        <v>1180.02</v>
      </c>
      <c r="O47" s="99">
        <f>J47+E47+'ACP_Agri_9(i)'!E47</f>
        <v>31</v>
      </c>
      <c r="P47" s="99">
        <f>K47+F47+'ACP_Agri_9(i)'!F47</f>
        <v>723.9</v>
      </c>
      <c r="Q47" s="100">
        <f t="shared" si="2"/>
        <v>61.346417857324454</v>
      </c>
      <c r="T47" s="111"/>
    </row>
    <row r="48" spans="1:20" x14ac:dyDescent="0.2">
      <c r="A48" s="57">
        <v>42</v>
      </c>
      <c r="B48" s="107" t="s">
        <v>224</v>
      </c>
      <c r="C48" s="99">
        <v>0</v>
      </c>
      <c r="D48" s="99">
        <v>0</v>
      </c>
      <c r="E48" s="99">
        <v>0</v>
      </c>
      <c r="F48" s="99">
        <v>0</v>
      </c>
      <c r="G48" s="100">
        <v>0</v>
      </c>
      <c r="H48" s="99">
        <v>0</v>
      </c>
      <c r="I48" s="99">
        <v>0</v>
      </c>
      <c r="J48" s="99">
        <v>0</v>
      </c>
      <c r="K48" s="99">
        <v>0</v>
      </c>
      <c r="L48" s="100">
        <v>0</v>
      </c>
      <c r="M48" s="99">
        <f>H48+C48+'ACP_Agri_9(i)'!C48</f>
        <v>0</v>
      </c>
      <c r="N48" s="99">
        <f>I48+D48+'ACP_Agri_9(i)'!D48</f>
        <v>0</v>
      </c>
      <c r="O48" s="99">
        <f>J48+E48+'ACP_Agri_9(i)'!E48</f>
        <v>0</v>
      </c>
      <c r="P48" s="99">
        <f>K48+F48+'ACP_Agri_9(i)'!F48</f>
        <v>0</v>
      </c>
      <c r="Q48" s="100">
        <v>0</v>
      </c>
      <c r="T48" s="111"/>
    </row>
    <row r="49" spans="1:20" x14ac:dyDescent="0.2">
      <c r="A49" s="57">
        <v>43</v>
      </c>
      <c r="B49" s="98" t="s">
        <v>73</v>
      </c>
      <c r="C49" s="99">
        <v>136</v>
      </c>
      <c r="D49" s="99">
        <v>832</v>
      </c>
      <c r="E49" s="99">
        <f>544-152</f>
        <v>392</v>
      </c>
      <c r="F49" s="99">
        <v>762</v>
      </c>
      <c r="G49" s="100">
        <f t="shared" si="0"/>
        <v>91.586538461538467</v>
      </c>
      <c r="H49" s="99">
        <v>93</v>
      </c>
      <c r="I49" s="99">
        <v>483</v>
      </c>
      <c r="J49" s="99">
        <f>74-27</f>
        <v>47</v>
      </c>
      <c r="K49" s="99">
        <v>9960</v>
      </c>
      <c r="L49" s="100">
        <f t="shared" si="1"/>
        <v>2062.1118012422362</v>
      </c>
      <c r="M49" s="99">
        <f>H49+C49+'ACP_Agri_9(i)'!C49</f>
        <v>5031</v>
      </c>
      <c r="N49" s="99">
        <f>I49+D49+'ACP_Agri_9(i)'!D49</f>
        <v>21115.97</v>
      </c>
      <c r="O49" s="99">
        <f>J49+E49+'ACP_Agri_9(i)'!E49</f>
        <v>13375</v>
      </c>
      <c r="P49" s="99">
        <f>K49+F49+'ACP_Agri_9(i)'!F49</f>
        <v>31666</v>
      </c>
      <c r="Q49" s="100">
        <f t="shared" si="2"/>
        <v>149.96232709176988</v>
      </c>
      <c r="T49" s="111"/>
    </row>
    <row r="50" spans="1:20" x14ac:dyDescent="0.2">
      <c r="A50" s="57">
        <v>44</v>
      </c>
      <c r="B50" s="98" t="s">
        <v>225</v>
      </c>
      <c r="C50" s="99">
        <v>0</v>
      </c>
      <c r="D50" s="99">
        <v>0</v>
      </c>
      <c r="E50" s="99">
        <v>0</v>
      </c>
      <c r="F50" s="99">
        <v>0</v>
      </c>
      <c r="G50" s="100">
        <v>0</v>
      </c>
      <c r="H50" s="99">
        <v>0</v>
      </c>
      <c r="I50" s="99">
        <v>0</v>
      </c>
      <c r="J50" s="99">
        <v>0</v>
      </c>
      <c r="K50" s="99">
        <v>0</v>
      </c>
      <c r="L50" s="100">
        <v>0</v>
      </c>
      <c r="M50" s="99">
        <f>H50+C50+'ACP_Agri_9(i)'!C50</f>
        <v>0</v>
      </c>
      <c r="N50" s="99">
        <f>I50+D50+'ACP_Agri_9(i)'!D50</f>
        <v>0</v>
      </c>
      <c r="O50" s="99">
        <f>J50+E50+'ACP_Agri_9(i)'!E50</f>
        <v>0</v>
      </c>
      <c r="P50" s="99">
        <f>K50+F50+'ACP_Agri_9(i)'!F50</f>
        <v>0</v>
      </c>
      <c r="Q50" s="100">
        <v>0</v>
      </c>
      <c r="T50" s="111"/>
    </row>
    <row r="51" spans="1:20" x14ac:dyDescent="0.2">
      <c r="A51" s="57">
        <v>45</v>
      </c>
      <c r="B51" s="98" t="s">
        <v>226</v>
      </c>
      <c r="C51" s="99">
        <v>16</v>
      </c>
      <c r="D51" s="99">
        <v>50</v>
      </c>
      <c r="E51" s="99">
        <v>56</v>
      </c>
      <c r="F51" s="99">
        <f>1503-476</f>
        <v>1027</v>
      </c>
      <c r="G51" s="100">
        <f t="shared" si="0"/>
        <v>2054</v>
      </c>
      <c r="H51" s="99">
        <v>10</v>
      </c>
      <c r="I51" s="99">
        <v>29</v>
      </c>
      <c r="J51" s="99">
        <f>59-47</f>
        <v>12</v>
      </c>
      <c r="K51" s="99">
        <v>3631</v>
      </c>
      <c r="L51" s="100">
        <f t="shared" si="1"/>
        <v>12520.689655172413</v>
      </c>
      <c r="M51" s="99">
        <f>H51+C51+'ACP_Agri_9(i)'!C51</f>
        <v>553</v>
      </c>
      <c r="N51" s="99">
        <f>I51+D51+'ACP_Agri_9(i)'!D51</f>
        <v>1258.51</v>
      </c>
      <c r="O51" s="99">
        <f>J51+E51+'ACP_Agri_9(i)'!E51</f>
        <v>2832</v>
      </c>
      <c r="P51" s="99">
        <f>K51+F51+'ACP_Agri_9(i)'!F51</f>
        <v>12266</v>
      </c>
      <c r="Q51" s="100">
        <f t="shared" si="2"/>
        <v>974.6446194309143</v>
      </c>
      <c r="T51" s="111"/>
    </row>
    <row r="52" spans="1:20" x14ac:dyDescent="0.2">
      <c r="A52" s="57">
        <v>46</v>
      </c>
      <c r="B52" s="98" t="s">
        <v>227</v>
      </c>
      <c r="C52" s="99">
        <v>1</v>
      </c>
      <c r="D52" s="99">
        <v>5</v>
      </c>
      <c r="E52" s="99">
        <v>0</v>
      </c>
      <c r="F52" s="99">
        <v>0</v>
      </c>
      <c r="G52" s="100">
        <f t="shared" si="0"/>
        <v>0</v>
      </c>
      <c r="H52" s="99">
        <v>1</v>
      </c>
      <c r="I52" s="99">
        <v>3</v>
      </c>
      <c r="J52" s="99">
        <v>0</v>
      </c>
      <c r="K52" s="99">
        <v>0</v>
      </c>
      <c r="L52" s="100">
        <f t="shared" si="1"/>
        <v>0</v>
      </c>
      <c r="M52" s="99">
        <f>H52+C52+'ACP_Agri_9(i)'!C52</f>
        <v>30</v>
      </c>
      <c r="N52" s="99">
        <f>I52+D52+'ACP_Agri_9(i)'!D52</f>
        <v>134.06</v>
      </c>
      <c r="O52" s="99">
        <f>J52+E52+'ACP_Agri_9(i)'!E52</f>
        <v>0</v>
      </c>
      <c r="P52" s="99">
        <f>K52+F52+'ACP_Agri_9(i)'!F52</f>
        <v>0</v>
      </c>
      <c r="Q52" s="100">
        <f t="shared" si="2"/>
        <v>0</v>
      </c>
      <c r="T52" s="111"/>
    </row>
    <row r="53" spans="1:20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100">
        <v>0</v>
      </c>
      <c r="H53" s="99"/>
      <c r="I53" s="99"/>
      <c r="J53" s="99">
        <v>0</v>
      </c>
      <c r="K53" s="99">
        <v>0</v>
      </c>
      <c r="L53" s="100">
        <v>0</v>
      </c>
      <c r="M53" s="99">
        <f>H53+C53+'ACP_Agri_9(i)'!C53</f>
        <v>0</v>
      </c>
      <c r="N53" s="99">
        <f>I53+D53+'ACP_Agri_9(i)'!D53</f>
        <v>0</v>
      </c>
      <c r="O53" s="99">
        <f>J53+E53+'ACP_Agri_9(i)'!E53</f>
        <v>0</v>
      </c>
      <c r="P53" s="99">
        <f>K53+F53+'ACP_Agri_9(i)'!F53</f>
        <v>0</v>
      </c>
      <c r="Q53" s="100">
        <v>0</v>
      </c>
      <c r="T53" s="111"/>
    </row>
    <row r="54" spans="1:20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100">
        <v>0</v>
      </c>
      <c r="H54" s="99"/>
      <c r="I54" s="99"/>
      <c r="J54" s="99">
        <v>0</v>
      </c>
      <c r="K54" s="99">
        <v>0</v>
      </c>
      <c r="L54" s="100">
        <v>0</v>
      </c>
      <c r="M54" s="99">
        <f>H54+C54+'ACP_Agri_9(i)'!C54</f>
        <v>0</v>
      </c>
      <c r="N54" s="99">
        <f>I54+D54+'ACP_Agri_9(i)'!D54</f>
        <v>0</v>
      </c>
      <c r="O54" s="99">
        <f>J54+E54+'ACP_Agri_9(i)'!E54</f>
        <v>0</v>
      </c>
      <c r="P54" s="99">
        <f>K54+F54+'ACP_Agri_9(i)'!F54</f>
        <v>0</v>
      </c>
      <c r="Q54" s="100">
        <v>0</v>
      </c>
      <c r="T54" s="111"/>
    </row>
    <row r="55" spans="1:20" x14ac:dyDescent="0.2">
      <c r="A55" s="57">
        <v>49</v>
      </c>
      <c r="B55" s="58" t="s">
        <v>76</v>
      </c>
      <c r="C55" s="99">
        <v>34</v>
      </c>
      <c r="D55" s="99">
        <v>134</v>
      </c>
      <c r="E55" s="99">
        <v>8</v>
      </c>
      <c r="F55" s="99">
        <v>535</v>
      </c>
      <c r="G55" s="100">
        <f t="shared" si="0"/>
        <v>399.25373134328356</v>
      </c>
      <c r="H55" s="99">
        <v>23</v>
      </c>
      <c r="I55" s="99">
        <v>78</v>
      </c>
      <c r="J55" s="99">
        <v>19</v>
      </c>
      <c r="K55" s="99">
        <v>2327</v>
      </c>
      <c r="L55" s="100">
        <f t="shared" si="1"/>
        <v>2983.3333333333335</v>
      </c>
      <c r="M55" s="99">
        <f>H55+C55+'ACP_Agri_9(i)'!C55</f>
        <v>1256</v>
      </c>
      <c r="N55" s="99">
        <f>I55+D55+'ACP_Agri_9(i)'!D55</f>
        <v>4124.0599999999995</v>
      </c>
      <c r="O55" s="99">
        <f>J55+E55+'ACP_Agri_9(i)'!E55</f>
        <v>2189</v>
      </c>
      <c r="P55" s="99">
        <f>K55+F55+'ACP_Agri_9(i)'!F55</f>
        <v>3973</v>
      </c>
      <c r="Q55" s="100">
        <f t="shared" si="2"/>
        <v>96.337104697797812</v>
      </c>
      <c r="T55" s="111"/>
    </row>
    <row r="56" spans="1:20" s="108" customFormat="1" x14ac:dyDescent="0.2">
      <c r="A56" s="317"/>
      <c r="B56" s="60" t="s">
        <v>289</v>
      </c>
      <c r="C56" s="106">
        <f>SUM(C34:C55)</f>
        <v>2759</v>
      </c>
      <c r="D56" s="106">
        <f t="shared" ref="D56:N56" si="4">SUM(D34:D55)</f>
        <v>13463</v>
      </c>
      <c r="E56" s="106">
        <f t="shared" si="4"/>
        <v>738</v>
      </c>
      <c r="F56" s="106">
        <f t="shared" si="4"/>
        <v>5274.34</v>
      </c>
      <c r="G56" s="97">
        <f t="shared" si="0"/>
        <v>39.176557973705712</v>
      </c>
      <c r="H56" s="106">
        <f t="shared" si="4"/>
        <v>1823</v>
      </c>
      <c r="I56" s="106">
        <f t="shared" si="4"/>
        <v>7847</v>
      </c>
      <c r="J56" s="106">
        <f t="shared" si="4"/>
        <v>2145</v>
      </c>
      <c r="K56" s="106">
        <f t="shared" si="4"/>
        <v>62459.74</v>
      </c>
      <c r="L56" s="97">
        <f t="shared" si="1"/>
        <v>795.96966993755575</v>
      </c>
      <c r="M56" s="106">
        <f t="shared" si="4"/>
        <v>99192</v>
      </c>
      <c r="N56" s="106">
        <f t="shared" si="4"/>
        <v>338995.86</v>
      </c>
      <c r="O56" s="106">
        <f>J56+E56+'ACP_Agri_9(i)'!E56</f>
        <v>293523</v>
      </c>
      <c r="P56" s="106">
        <f>K56+F56+'ACP_Agri_9(i)'!F56</f>
        <v>443302.57</v>
      </c>
      <c r="Q56" s="97">
        <f t="shared" si="2"/>
        <v>130.76931676982721</v>
      </c>
      <c r="R56" s="111"/>
      <c r="T56" s="111"/>
    </row>
    <row r="57" spans="1:20" s="108" customFormat="1" x14ac:dyDescent="0.2">
      <c r="A57" s="57">
        <v>50</v>
      </c>
      <c r="B57" s="58" t="s">
        <v>46</v>
      </c>
      <c r="C57" s="99">
        <v>2484</v>
      </c>
      <c r="D57" s="99">
        <v>15711</v>
      </c>
      <c r="E57" s="99">
        <v>1</v>
      </c>
      <c r="F57" s="99">
        <v>8</v>
      </c>
      <c r="G57" s="100">
        <f t="shared" si="0"/>
        <v>5.0919737763350521E-2</v>
      </c>
      <c r="H57" s="99">
        <v>236</v>
      </c>
      <c r="I57" s="99">
        <v>1296</v>
      </c>
      <c r="J57" s="99">
        <v>2</v>
      </c>
      <c r="K57" s="99">
        <v>1</v>
      </c>
      <c r="L57" s="100">
        <f t="shared" si="1"/>
        <v>7.716049382716049E-2</v>
      </c>
      <c r="M57" s="99">
        <f>H57+C57+'ACP_Agri_9(i)'!C57</f>
        <v>79754</v>
      </c>
      <c r="N57" s="99">
        <f>I57+D57+'ACP_Agri_9(i)'!D57</f>
        <v>289600.48</v>
      </c>
      <c r="O57" s="99">
        <f>J57+E57+'ACP_Agri_9(i)'!E57</f>
        <v>91768</v>
      </c>
      <c r="P57" s="99">
        <f>K57+F57+'ACP_Agri_9(i)'!F57</f>
        <v>108797.05</v>
      </c>
      <c r="Q57" s="100">
        <f t="shared" si="2"/>
        <v>37.567979859701893</v>
      </c>
      <c r="R57" s="111"/>
      <c r="T57" s="111"/>
    </row>
    <row r="58" spans="1:20" s="108" customFormat="1" x14ac:dyDescent="0.2">
      <c r="A58" s="57">
        <v>51</v>
      </c>
      <c r="B58" s="58" t="s">
        <v>229</v>
      </c>
      <c r="C58" s="99">
        <v>3220</v>
      </c>
      <c r="D58" s="99">
        <v>11416</v>
      </c>
      <c r="E58" s="99">
        <v>0</v>
      </c>
      <c r="F58" s="99">
        <v>0</v>
      </c>
      <c r="G58" s="100">
        <f t="shared" si="0"/>
        <v>0</v>
      </c>
      <c r="H58" s="99">
        <v>551</v>
      </c>
      <c r="I58" s="99">
        <v>3197</v>
      </c>
      <c r="J58" s="99">
        <v>0</v>
      </c>
      <c r="K58" s="99">
        <v>0</v>
      </c>
      <c r="L58" s="100">
        <f t="shared" si="1"/>
        <v>0</v>
      </c>
      <c r="M58" s="99">
        <f>H58+C58+'ACP_Agri_9(i)'!C58</f>
        <v>146373</v>
      </c>
      <c r="N58" s="99">
        <f>I58+D58+'ACP_Agri_9(i)'!D58</f>
        <v>284530.7</v>
      </c>
      <c r="O58" s="99">
        <f>J58+E58+'ACP_Agri_9(i)'!E58</f>
        <v>143556</v>
      </c>
      <c r="P58" s="99">
        <f>K58+F58+'ACP_Agri_9(i)'!F58</f>
        <v>67354</v>
      </c>
      <c r="Q58" s="100">
        <f t="shared" si="2"/>
        <v>23.671962287373557</v>
      </c>
      <c r="R58" s="111"/>
      <c r="T58" s="111"/>
    </row>
    <row r="59" spans="1:20" x14ac:dyDescent="0.2">
      <c r="A59" s="57">
        <v>52</v>
      </c>
      <c r="B59" s="58" t="s">
        <v>52</v>
      </c>
      <c r="C59" s="99">
        <v>3522</v>
      </c>
      <c r="D59" s="99">
        <v>12966</v>
      </c>
      <c r="E59" s="99">
        <v>0</v>
      </c>
      <c r="F59" s="99">
        <v>0</v>
      </c>
      <c r="G59" s="100">
        <f t="shared" si="0"/>
        <v>0</v>
      </c>
      <c r="H59" s="99">
        <v>5572</v>
      </c>
      <c r="I59" s="99">
        <v>18794</v>
      </c>
      <c r="J59" s="99">
        <v>380</v>
      </c>
      <c r="K59" s="99">
        <v>559</v>
      </c>
      <c r="L59" s="100">
        <f t="shared" si="1"/>
        <v>2.9743535170799191</v>
      </c>
      <c r="M59" s="99">
        <f>H59+C59+'ACP_Agri_9(i)'!C59</f>
        <v>117579.042837079</v>
      </c>
      <c r="N59" s="99">
        <f>I59+D59+'ACP_Agri_9(i)'!D59</f>
        <v>443890.97</v>
      </c>
      <c r="O59" s="99">
        <f>J59+E59+'ACP_Agri_9(i)'!E59</f>
        <v>11495</v>
      </c>
      <c r="P59" s="99">
        <f>K59+F59+'ACP_Agri_9(i)'!F59</f>
        <v>190777.1</v>
      </c>
      <c r="Q59" s="100">
        <f t="shared" si="2"/>
        <v>42.978369215305285</v>
      </c>
      <c r="T59" s="111"/>
    </row>
    <row r="60" spans="1:20" s="108" customFormat="1" x14ac:dyDescent="0.2">
      <c r="A60" s="317"/>
      <c r="B60" s="60" t="s">
        <v>295</v>
      </c>
      <c r="C60" s="106">
        <f>SUM(C57:C59)</f>
        <v>9226</v>
      </c>
      <c r="D60" s="106">
        <f t="shared" ref="D60:N60" si="5">SUM(D57:D59)</f>
        <v>40093</v>
      </c>
      <c r="E60" s="106">
        <f t="shared" si="5"/>
        <v>1</v>
      </c>
      <c r="F60" s="106">
        <f t="shared" si="5"/>
        <v>8</v>
      </c>
      <c r="G60" s="97">
        <f t="shared" si="0"/>
        <v>1.9953607861721498E-2</v>
      </c>
      <c r="H60" s="106">
        <f t="shared" si="5"/>
        <v>6359</v>
      </c>
      <c r="I60" s="106">
        <f t="shared" si="5"/>
        <v>23287</v>
      </c>
      <c r="J60" s="106">
        <f t="shared" si="5"/>
        <v>382</v>
      </c>
      <c r="K60" s="106">
        <f t="shared" si="5"/>
        <v>560</v>
      </c>
      <c r="L60" s="97">
        <f t="shared" si="1"/>
        <v>2.4047751964615451</v>
      </c>
      <c r="M60" s="106">
        <f t="shared" si="5"/>
        <v>343706.04283707903</v>
      </c>
      <c r="N60" s="106">
        <f t="shared" si="5"/>
        <v>1018022.1499999999</v>
      </c>
      <c r="O60" s="106">
        <f>J60+E60+'ACP_Agri_9(i)'!E60</f>
        <v>246819</v>
      </c>
      <c r="P60" s="106">
        <f>K60+F60+'ACP_Agri_9(i)'!F60</f>
        <v>366928.15</v>
      </c>
      <c r="Q60" s="97">
        <f t="shared" si="2"/>
        <v>36.043238351935663</v>
      </c>
      <c r="R60" s="111"/>
      <c r="T60" s="111"/>
    </row>
    <row r="61" spans="1:20" x14ac:dyDescent="0.2">
      <c r="A61" s="57">
        <v>53</v>
      </c>
      <c r="B61" s="58" t="s">
        <v>290</v>
      </c>
      <c r="C61" s="99">
        <v>32840</v>
      </c>
      <c r="D61" s="99">
        <v>83222</v>
      </c>
      <c r="E61" s="99">
        <v>0</v>
      </c>
      <c r="F61" s="99">
        <v>0</v>
      </c>
      <c r="G61" s="100">
        <f t="shared" si="0"/>
        <v>0</v>
      </c>
      <c r="H61" s="99">
        <v>10958</v>
      </c>
      <c r="I61" s="99">
        <v>51081</v>
      </c>
      <c r="J61" s="99">
        <v>0</v>
      </c>
      <c r="K61" s="99">
        <v>0</v>
      </c>
      <c r="L61" s="100">
        <f t="shared" si="1"/>
        <v>0</v>
      </c>
      <c r="M61" s="99">
        <f>H61+C61+'ACP_Agri_9(i)'!C61</f>
        <v>709321</v>
      </c>
      <c r="N61" s="99">
        <f>I61+D61+'ACP_Agri_9(i)'!D61</f>
        <v>2130413.9900000002</v>
      </c>
      <c r="O61" s="99">
        <f>J61+E61+'ACP_Agri_9(i)'!E61</f>
        <v>773101</v>
      </c>
      <c r="P61" s="99">
        <f>K61+F61+'ACP_Agri_9(i)'!F61</f>
        <v>1089131</v>
      </c>
      <c r="Q61" s="100">
        <f t="shared" si="2"/>
        <v>51.122974460001544</v>
      </c>
      <c r="T61" s="111"/>
    </row>
    <row r="62" spans="1:20" s="108" customFormat="1" x14ac:dyDescent="0.2">
      <c r="A62" s="317"/>
      <c r="B62" s="60" t="s">
        <v>291</v>
      </c>
      <c r="C62" s="106">
        <f>C61</f>
        <v>32840</v>
      </c>
      <c r="D62" s="106">
        <f t="shared" ref="D62:N62" si="6">D61</f>
        <v>83222</v>
      </c>
      <c r="E62" s="106">
        <f t="shared" si="6"/>
        <v>0</v>
      </c>
      <c r="F62" s="106">
        <f t="shared" si="6"/>
        <v>0</v>
      </c>
      <c r="G62" s="97">
        <f t="shared" si="0"/>
        <v>0</v>
      </c>
      <c r="H62" s="106">
        <f t="shared" si="6"/>
        <v>10958</v>
      </c>
      <c r="I62" s="106">
        <f t="shared" si="6"/>
        <v>51081</v>
      </c>
      <c r="J62" s="106">
        <f t="shared" si="6"/>
        <v>0</v>
      </c>
      <c r="K62" s="106">
        <f t="shared" si="6"/>
        <v>0</v>
      </c>
      <c r="L62" s="97">
        <f t="shared" si="1"/>
        <v>0</v>
      </c>
      <c r="M62" s="106">
        <f t="shared" si="6"/>
        <v>709321</v>
      </c>
      <c r="N62" s="106">
        <f t="shared" si="6"/>
        <v>2130413.9900000002</v>
      </c>
      <c r="O62" s="106">
        <f>J62+E62+'ACP_Agri_9(i)'!E62</f>
        <v>773101</v>
      </c>
      <c r="P62" s="106">
        <f>K62+F62+'ACP_Agri_9(i)'!F62</f>
        <v>1089131</v>
      </c>
      <c r="Q62" s="97">
        <f t="shared" si="2"/>
        <v>51.122974460001544</v>
      </c>
      <c r="R62" s="111"/>
      <c r="T62" s="111"/>
    </row>
    <row r="63" spans="1:20" s="108" customFormat="1" x14ac:dyDescent="0.2">
      <c r="A63" s="317"/>
      <c r="B63" s="60" t="s">
        <v>292</v>
      </c>
      <c r="C63" s="106">
        <f>C62+C60+C56+C33</f>
        <v>83990</v>
      </c>
      <c r="D63" s="106">
        <f t="shared" ref="D63:N63" si="7">D62+D60+D56+D33</f>
        <v>318443</v>
      </c>
      <c r="E63" s="106">
        <f t="shared" si="7"/>
        <v>20497</v>
      </c>
      <c r="F63" s="106">
        <f t="shared" si="7"/>
        <v>68578.22</v>
      </c>
      <c r="G63" s="97">
        <f t="shared" si="0"/>
        <v>21.535477306770755</v>
      </c>
      <c r="H63" s="106">
        <f t="shared" si="7"/>
        <v>49129</v>
      </c>
      <c r="I63" s="106">
        <f t="shared" si="7"/>
        <v>187720</v>
      </c>
      <c r="J63" s="106">
        <f t="shared" si="7"/>
        <v>39668</v>
      </c>
      <c r="K63" s="106">
        <f t="shared" si="7"/>
        <v>176513.13999999998</v>
      </c>
      <c r="L63" s="97">
        <f t="shared" si="1"/>
        <v>94.030012784998931</v>
      </c>
      <c r="M63" s="106">
        <f t="shared" si="7"/>
        <v>2613627.0428370791</v>
      </c>
      <c r="N63" s="106">
        <f t="shared" si="7"/>
        <v>8098856.2599999998</v>
      </c>
      <c r="O63" s="106">
        <f>J63+E63+'ACP_Agri_9(i)'!E63</f>
        <v>2485323</v>
      </c>
      <c r="P63" s="106">
        <f>K63+F63+'ACP_Agri_9(i)'!F63</f>
        <v>4299155.51</v>
      </c>
      <c r="Q63" s="97">
        <f t="shared" si="2"/>
        <v>53.083489470400849</v>
      </c>
      <c r="R63" s="111"/>
      <c r="T63" s="111"/>
    </row>
    <row r="64" spans="1:20" x14ac:dyDescent="0.2">
      <c r="A64" s="61"/>
      <c r="G64" s="111"/>
      <c r="L64" s="111"/>
    </row>
  </sheetData>
  <mergeCells count="15">
    <mergeCell ref="Q4:Q5"/>
    <mergeCell ref="A1:P1"/>
    <mergeCell ref="M3:Q3"/>
    <mergeCell ref="A3:A5"/>
    <mergeCell ref="B3:B5"/>
    <mergeCell ref="G4:G5"/>
    <mergeCell ref="C3:G3"/>
    <mergeCell ref="L4:L5"/>
    <mergeCell ref="H3:L3"/>
    <mergeCell ref="E4:F4"/>
    <mergeCell ref="H4:I4"/>
    <mergeCell ref="O4:P4"/>
    <mergeCell ref="C4:D4"/>
    <mergeCell ref="J4:K4"/>
    <mergeCell ref="M4:N4"/>
  </mergeCells>
  <conditionalFormatting sqref="AB1:AB1048576">
    <cfRule type="cellIs" dxfId="138" priority="12" stopIfTrue="1" operator="greaterThan">
      <formula>100</formula>
    </cfRule>
  </conditionalFormatting>
  <conditionalFormatting sqref="B6">
    <cfRule type="duplicateValues" dxfId="137" priority="6"/>
  </conditionalFormatting>
  <conditionalFormatting sqref="B22">
    <cfRule type="duplicateValues" dxfId="136" priority="7"/>
  </conditionalFormatting>
  <conditionalFormatting sqref="B32:B33 B26:B29">
    <cfRule type="duplicateValues" dxfId="135" priority="8"/>
  </conditionalFormatting>
  <conditionalFormatting sqref="B51">
    <cfRule type="duplicateValues" dxfId="134" priority="9"/>
  </conditionalFormatting>
  <conditionalFormatting sqref="B55">
    <cfRule type="duplicateValues" dxfId="133" priority="10"/>
  </conditionalFormatting>
  <conditionalFormatting sqref="B57">
    <cfRule type="duplicateValues" dxfId="132" priority="11"/>
  </conditionalFormatting>
  <conditionalFormatting sqref="Q1:Q1048576">
    <cfRule type="cellIs" dxfId="131" priority="5" stopIfTrue="1" operator="greaterThan">
      <formula>50</formula>
    </cfRule>
  </conditionalFormatting>
  <conditionalFormatting sqref="T1:T1048576">
    <cfRule type="cellIs" dxfId="130" priority="1" operator="lessThan">
      <formula>0</formula>
    </cfRule>
  </conditionalFormatting>
  <pageMargins left="1.2" right="0.7" top="0.25" bottom="0.25" header="0.3" footer="0.3"/>
  <pageSetup paperSize="9" scale="60" orientation="landscape" r:id="rId1"/>
  <headerFooter>
    <oddFooter>&amp;CData Table, State Level Banker's Committee, M.P. as on 31.12.2016 Page No.84</oddFooter>
  </headerFooter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74"/>
  <sheetViews>
    <sheetView view="pageBreakPreview" topLeftCell="A37" zoomScale="60" zoomScaleNormal="100" workbookViewId="0">
      <selection activeCell="D66" sqref="D66"/>
    </sheetView>
  </sheetViews>
  <sheetFormatPr defaultColWidth="4.42578125" defaultRowHeight="13.5" x14ac:dyDescent="0.2"/>
  <cols>
    <col min="1" max="1" width="4.42578125" style="141"/>
    <col min="2" max="2" width="23.28515625" style="141" customWidth="1"/>
    <col min="3" max="3" width="10.5703125" style="146" bestFit="1" customWidth="1"/>
    <col min="4" max="4" width="11.140625" style="146" bestFit="1" customWidth="1"/>
    <col min="5" max="5" width="8.5703125" style="146" bestFit="1" customWidth="1"/>
    <col min="6" max="6" width="10.140625" style="146" bestFit="1" customWidth="1"/>
    <col min="7" max="7" width="8" style="146" customWidth="1"/>
    <col min="8" max="8" width="10.42578125" style="146" bestFit="1" customWidth="1"/>
    <col min="9" max="9" width="8" style="146" customWidth="1"/>
    <col min="10" max="10" width="8.42578125" style="146" customWidth="1"/>
    <col min="11" max="11" width="7.140625" style="146" customWidth="1"/>
    <col min="12" max="12" width="7.28515625" style="146" customWidth="1"/>
    <col min="13" max="13" width="7.5703125" style="146" bestFit="1" customWidth="1"/>
    <col min="14" max="14" width="8.5703125" style="146" customWidth="1"/>
    <col min="15" max="15" width="9.42578125" style="146" bestFit="1" customWidth="1"/>
    <col min="16" max="16" width="10.140625" style="146" bestFit="1" customWidth="1"/>
    <col min="17" max="17" width="8" style="148" customWidth="1"/>
    <col min="18" max="16384" width="4.42578125" style="141"/>
  </cols>
  <sheetData>
    <row r="1" spans="1:17" s="62" customFormat="1" ht="18.75" x14ac:dyDescent="0.2">
      <c r="A1" s="477" t="s">
        <v>375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109"/>
    </row>
    <row r="2" spans="1:17" s="62" customFormat="1" x14ac:dyDescent="0.2">
      <c r="B2" s="108" t="s">
        <v>134</v>
      </c>
      <c r="C2" s="112"/>
      <c r="D2" s="112"/>
      <c r="E2" s="111"/>
      <c r="F2" s="111"/>
      <c r="G2" s="111"/>
      <c r="H2" s="111"/>
      <c r="I2" s="111"/>
      <c r="J2" s="111"/>
      <c r="K2" s="111" t="s">
        <v>143</v>
      </c>
      <c r="L2" s="111"/>
      <c r="M2" s="111"/>
      <c r="N2" s="112" t="s">
        <v>157</v>
      </c>
      <c r="O2" s="111"/>
      <c r="P2" s="111"/>
      <c r="Q2" s="109"/>
    </row>
    <row r="3" spans="1:17" s="62" customFormat="1" ht="35.1" customHeight="1" x14ac:dyDescent="0.2">
      <c r="A3" s="478" t="s">
        <v>120</v>
      </c>
      <c r="B3" s="478" t="s">
        <v>100</v>
      </c>
      <c r="C3" s="486" t="s">
        <v>159</v>
      </c>
      <c r="D3" s="490"/>
      <c r="E3" s="480" t="s">
        <v>376</v>
      </c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2"/>
      <c r="Q3" s="476" t="s">
        <v>158</v>
      </c>
    </row>
    <row r="4" spans="1:17" s="62" customFormat="1" ht="35.1" customHeight="1" x14ac:dyDescent="0.2">
      <c r="A4" s="478"/>
      <c r="B4" s="478"/>
      <c r="C4" s="488"/>
      <c r="D4" s="491"/>
      <c r="E4" s="480" t="s">
        <v>127</v>
      </c>
      <c r="F4" s="482"/>
      <c r="G4" s="480" t="s">
        <v>128</v>
      </c>
      <c r="H4" s="482"/>
      <c r="I4" s="480" t="s">
        <v>129</v>
      </c>
      <c r="J4" s="482"/>
      <c r="K4" s="480" t="s">
        <v>130</v>
      </c>
      <c r="L4" s="482"/>
      <c r="M4" s="480" t="s">
        <v>132</v>
      </c>
      <c r="N4" s="482"/>
      <c r="O4" s="480" t="s">
        <v>156</v>
      </c>
      <c r="P4" s="482"/>
      <c r="Q4" s="476"/>
    </row>
    <row r="5" spans="1:17" s="62" customFormat="1" ht="35.1" customHeight="1" x14ac:dyDescent="0.2">
      <c r="A5" s="478"/>
      <c r="B5" s="478"/>
      <c r="C5" s="318" t="s">
        <v>30</v>
      </c>
      <c r="D5" s="318" t="s">
        <v>17</v>
      </c>
      <c r="E5" s="318" t="s">
        <v>30</v>
      </c>
      <c r="F5" s="318" t="s">
        <v>17</v>
      </c>
      <c r="G5" s="318" t="s">
        <v>30</v>
      </c>
      <c r="H5" s="318" t="s">
        <v>17</v>
      </c>
      <c r="I5" s="318" t="s">
        <v>30</v>
      </c>
      <c r="J5" s="318" t="s">
        <v>17</v>
      </c>
      <c r="K5" s="318" t="s">
        <v>30</v>
      </c>
      <c r="L5" s="318" t="s">
        <v>17</v>
      </c>
      <c r="M5" s="318" t="s">
        <v>30</v>
      </c>
      <c r="N5" s="318" t="s">
        <v>17</v>
      </c>
      <c r="O5" s="318" t="s">
        <v>30</v>
      </c>
      <c r="P5" s="318" t="s">
        <v>17</v>
      </c>
      <c r="Q5" s="476"/>
    </row>
    <row r="6" spans="1:17" s="62" customFormat="1" x14ac:dyDescent="0.2">
      <c r="A6" s="57">
        <v>1</v>
      </c>
      <c r="B6" s="98" t="s">
        <v>55</v>
      </c>
      <c r="C6" s="99">
        <v>12951</v>
      </c>
      <c r="D6" s="99">
        <v>44689</v>
      </c>
      <c r="E6" s="99">
        <v>2958</v>
      </c>
      <c r="F6" s="99">
        <v>7158</v>
      </c>
      <c r="G6" s="99">
        <v>784</v>
      </c>
      <c r="H6" s="99">
        <v>3658</v>
      </c>
      <c r="I6" s="99">
        <v>52</v>
      </c>
      <c r="J6" s="99">
        <f>18652-3796</f>
        <v>14856</v>
      </c>
      <c r="K6" s="99">
        <v>31</v>
      </c>
      <c r="L6" s="99">
        <v>127</v>
      </c>
      <c r="M6" s="99">
        <v>0</v>
      </c>
      <c r="N6" s="99">
        <v>0</v>
      </c>
      <c r="O6" s="99">
        <f t="shared" ref="O6:O32" si="0">E6+G6+I6+K6+M6</f>
        <v>3825</v>
      </c>
      <c r="P6" s="99">
        <f t="shared" ref="P6:P32" si="1">F6+H6+J6+L6+N6</f>
        <v>25799</v>
      </c>
      <c r="Q6" s="100">
        <f t="shared" ref="Q6:Q35" si="2">P6*100/D6</f>
        <v>57.730090178791201</v>
      </c>
    </row>
    <row r="7" spans="1:17" s="62" customFormat="1" x14ac:dyDescent="0.2">
      <c r="A7" s="57">
        <v>2</v>
      </c>
      <c r="B7" s="98" t="s">
        <v>56</v>
      </c>
      <c r="C7" s="99">
        <v>1105</v>
      </c>
      <c r="D7" s="99">
        <v>4895</v>
      </c>
      <c r="E7" s="99">
        <v>543</v>
      </c>
      <c r="F7" s="99">
        <v>1643.02</v>
      </c>
      <c r="G7" s="99">
        <v>25</v>
      </c>
      <c r="H7" s="99">
        <v>965.07</v>
      </c>
      <c r="I7" s="99">
        <v>2</v>
      </c>
      <c r="J7" s="99">
        <v>1104.45</v>
      </c>
      <c r="K7" s="99">
        <v>0</v>
      </c>
      <c r="L7" s="99">
        <v>0</v>
      </c>
      <c r="M7" s="99">
        <v>0</v>
      </c>
      <c r="N7" s="99">
        <v>0</v>
      </c>
      <c r="O7" s="99">
        <f t="shared" si="0"/>
        <v>570</v>
      </c>
      <c r="P7" s="99">
        <f t="shared" si="1"/>
        <v>3712.54</v>
      </c>
      <c r="Q7" s="100">
        <f t="shared" si="2"/>
        <v>75.843513789581209</v>
      </c>
    </row>
    <row r="8" spans="1:17" s="62" customFormat="1" x14ac:dyDescent="0.2">
      <c r="A8" s="57">
        <v>3</v>
      </c>
      <c r="B8" s="98" t="s">
        <v>57</v>
      </c>
      <c r="C8" s="99">
        <v>11898</v>
      </c>
      <c r="D8" s="99">
        <v>47875</v>
      </c>
      <c r="E8" s="99">
        <v>7255</v>
      </c>
      <c r="F8" s="99">
        <v>1455</v>
      </c>
      <c r="G8" s="99">
        <v>276</v>
      </c>
      <c r="H8" s="99">
        <v>34225</v>
      </c>
      <c r="I8" s="99">
        <v>144</v>
      </c>
      <c r="J8" s="99">
        <v>2752</v>
      </c>
      <c r="K8" s="99">
        <v>32</v>
      </c>
      <c r="L8" s="99">
        <v>483</v>
      </c>
      <c r="M8" s="99">
        <v>5</v>
      </c>
      <c r="N8" s="99">
        <v>45</v>
      </c>
      <c r="O8" s="99">
        <f t="shared" si="0"/>
        <v>7712</v>
      </c>
      <c r="P8" s="99">
        <f t="shared" si="1"/>
        <v>38960</v>
      </c>
      <c r="Q8" s="100">
        <f t="shared" si="2"/>
        <v>81.378590078328983</v>
      </c>
    </row>
    <row r="9" spans="1:17" s="62" customFormat="1" x14ac:dyDescent="0.2">
      <c r="A9" s="57">
        <v>4</v>
      </c>
      <c r="B9" s="98" t="s">
        <v>58</v>
      </c>
      <c r="C9" s="99">
        <v>4346</v>
      </c>
      <c r="D9" s="99">
        <v>106889</v>
      </c>
      <c r="E9" s="99">
        <v>16412</v>
      </c>
      <c r="F9" s="99">
        <v>62578</v>
      </c>
      <c r="G9" s="99">
        <v>2478</v>
      </c>
      <c r="H9" s="99">
        <v>17836</v>
      </c>
      <c r="I9" s="99">
        <v>164</v>
      </c>
      <c r="J9" s="99">
        <v>5281</v>
      </c>
      <c r="K9" s="99">
        <v>9</v>
      </c>
      <c r="L9" s="99">
        <v>4.5</v>
      </c>
      <c r="M9" s="99">
        <v>72</v>
      </c>
      <c r="N9" s="99">
        <v>96</v>
      </c>
      <c r="O9" s="99">
        <f t="shared" si="0"/>
        <v>19135</v>
      </c>
      <c r="P9" s="99">
        <f t="shared" si="1"/>
        <v>85795.5</v>
      </c>
      <c r="Q9" s="100">
        <f t="shared" si="2"/>
        <v>80.265976854493914</v>
      </c>
    </row>
    <row r="10" spans="1:17" s="62" customFormat="1" x14ac:dyDescent="0.2">
      <c r="A10" s="57">
        <v>5</v>
      </c>
      <c r="B10" s="98" t="s">
        <v>59</v>
      </c>
      <c r="C10" s="99">
        <v>12474</v>
      </c>
      <c r="D10" s="99">
        <v>52578</v>
      </c>
      <c r="E10" s="99">
        <v>11935</v>
      </c>
      <c r="F10" s="99">
        <v>47286.97</v>
      </c>
      <c r="G10" s="99">
        <v>1189</v>
      </c>
      <c r="H10" s="99">
        <v>33788.39</v>
      </c>
      <c r="I10" s="99">
        <v>12</v>
      </c>
      <c r="J10" s="99">
        <v>2016.24</v>
      </c>
      <c r="K10" s="99">
        <v>2</v>
      </c>
      <c r="L10" s="99">
        <v>10.95</v>
      </c>
      <c r="M10" s="99">
        <v>793</v>
      </c>
      <c r="N10" s="99">
        <v>2338.63</v>
      </c>
      <c r="O10" s="99">
        <f t="shared" si="0"/>
        <v>13931</v>
      </c>
      <c r="P10" s="99">
        <f t="shared" si="1"/>
        <v>85441.180000000008</v>
      </c>
      <c r="Q10" s="100">
        <f t="shared" si="2"/>
        <v>162.50367073681008</v>
      </c>
    </row>
    <row r="11" spans="1:17" s="62" customFormat="1" x14ac:dyDescent="0.2">
      <c r="A11" s="57">
        <v>6</v>
      </c>
      <c r="B11" s="101" t="s">
        <v>242</v>
      </c>
      <c r="C11" s="99">
        <v>252</v>
      </c>
      <c r="D11" s="99">
        <v>999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f t="shared" si="0"/>
        <v>0</v>
      </c>
      <c r="P11" s="99">
        <f t="shared" si="1"/>
        <v>0</v>
      </c>
      <c r="Q11" s="100">
        <f t="shared" si="2"/>
        <v>0</v>
      </c>
    </row>
    <row r="12" spans="1:17" s="62" customFormat="1" x14ac:dyDescent="0.2">
      <c r="A12" s="57">
        <v>7</v>
      </c>
      <c r="B12" s="98" t="s">
        <v>60</v>
      </c>
      <c r="C12" s="99">
        <v>6042</v>
      </c>
      <c r="D12" s="99">
        <v>21043</v>
      </c>
      <c r="E12" s="99">
        <v>1843</v>
      </c>
      <c r="F12" s="99">
        <v>5872</v>
      </c>
      <c r="G12" s="99">
        <v>578</v>
      </c>
      <c r="H12" s="99">
        <v>3289</v>
      </c>
      <c r="I12" s="99">
        <v>10</v>
      </c>
      <c r="J12" s="99">
        <v>414</v>
      </c>
      <c r="K12" s="99">
        <v>22</v>
      </c>
      <c r="L12" s="99">
        <v>112</v>
      </c>
      <c r="M12" s="99">
        <v>0</v>
      </c>
      <c r="N12" s="99">
        <v>0</v>
      </c>
      <c r="O12" s="99">
        <f t="shared" si="0"/>
        <v>2453</v>
      </c>
      <c r="P12" s="99">
        <f t="shared" si="1"/>
        <v>9687</v>
      </c>
      <c r="Q12" s="100">
        <f t="shared" si="2"/>
        <v>46.034310697143944</v>
      </c>
    </row>
    <row r="13" spans="1:17" s="62" customFormat="1" x14ac:dyDescent="0.2">
      <c r="A13" s="57">
        <v>8</v>
      </c>
      <c r="B13" s="98" t="s">
        <v>61</v>
      </c>
      <c r="C13" s="99">
        <v>22260</v>
      </c>
      <c r="D13" s="99">
        <v>93053</v>
      </c>
      <c r="E13" s="99">
        <v>3942</v>
      </c>
      <c r="F13" s="99">
        <v>17968</v>
      </c>
      <c r="G13" s="99">
        <v>1112</v>
      </c>
      <c r="H13" s="99">
        <f>44594-5897</f>
        <v>38697</v>
      </c>
      <c r="I13" s="99">
        <v>28</v>
      </c>
      <c r="J13" s="99">
        <v>3568</v>
      </c>
      <c r="K13" s="99">
        <v>57</v>
      </c>
      <c r="L13" s="99">
        <v>103</v>
      </c>
      <c r="M13" s="99">
        <v>0</v>
      </c>
      <c r="N13" s="99">
        <v>0</v>
      </c>
      <c r="O13" s="99">
        <f t="shared" si="0"/>
        <v>5139</v>
      </c>
      <c r="P13" s="99">
        <f t="shared" si="1"/>
        <v>60336</v>
      </c>
      <c r="Q13" s="100">
        <f t="shared" si="2"/>
        <v>64.840467260593428</v>
      </c>
    </row>
    <row r="14" spans="1:17" s="62" customFormat="1" x14ac:dyDescent="0.2">
      <c r="A14" s="57">
        <v>9</v>
      </c>
      <c r="B14" s="98" t="s">
        <v>48</v>
      </c>
      <c r="C14" s="99">
        <v>2036</v>
      </c>
      <c r="D14" s="99">
        <v>7809</v>
      </c>
      <c r="E14" s="99">
        <v>1619</v>
      </c>
      <c r="F14" s="99">
        <v>5792</v>
      </c>
      <c r="G14" s="99">
        <v>5</v>
      </c>
      <c r="H14" s="99">
        <v>2772</v>
      </c>
      <c r="I14" s="99">
        <v>205</v>
      </c>
      <c r="J14" s="99">
        <v>916</v>
      </c>
      <c r="K14" s="99">
        <v>15</v>
      </c>
      <c r="L14" s="99">
        <v>158</v>
      </c>
      <c r="M14" s="99">
        <v>0</v>
      </c>
      <c r="N14" s="99">
        <v>0</v>
      </c>
      <c r="O14" s="99">
        <f t="shared" si="0"/>
        <v>1844</v>
      </c>
      <c r="P14" s="99">
        <f t="shared" si="1"/>
        <v>9638</v>
      </c>
      <c r="Q14" s="100">
        <f t="shared" si="2"/>
        <v>123.42169291842745</v>
      </c>
    </row>
    <row r="15" spans="1:17" s="62" customFormat="1" x14ac:dyDescent="0.2">
      <c r="A15" s="57">
        <v>10</v>
      </c>
      <c r="B15" s="98" t="s">
        <v>49</v>
      </c>
      <c r="C15" s="99">
        <v>4760</v>
      </c>
      <c r="D15" s="99">
        <v>18738</v>
      </c>
      <c r="E15" s="99">
        <v>911</v>
      </c>
      <c r="F15" s="99">
        <v>13882</v>
      </c>
      <c r="G15" s="99">
        <v>0</v>
      </c>
      <c r="H15" s="99">
        <v>0</v>
      </c>
      <c r="I15" s="99">
        <v>2</v>
      </c>
      <c r="J15" s="99">
        <v>725</v>
      </c>
      <c r="K15" s="99">
        <v>4</v>
      </c>
      <c r="L15" s="99">
        <v>2</v>
      </c>
      <c r="M15" s="99">
        <v>0</v>
      </c>
      <c r="N15" s="99">
        <v>0</v>
      </c>
      <c r="O15" s="99">
        <f t="shared" si="0"/>
        <v>917</v>
      </c>
      <c r="P15" s="99">
        <f t="shared" si="1"/>
        <v>14609</v>
      </c>
      <c r="Q15" s="100">
        <f t="shared" si="2"/>
        <v>77.964563987618746</v>
      </c>
    </row>
    <row r="16" spans="1:17" s="62" customFormat="1" x14ac:dyDescent="0.2">
      <c r="A16" s="57">
        <v>11</v>
      </c>
      <c r="B16" s="98" t="s">
        <v>81</v>
      </c>
      <c r="C16" s="99">
        <v>5422</v>
      </c>
      <c r="D16" s="99">
        <v>19800</v>
      </c>
      <c r="E16" s="99">
        <v>13785</v>
      </c>
      <c r="F16" s="99">
        <v>42025</v>
      </c>
      <c r="G16" s="99">
        <v>531</v>
      </c>
      <c r="H16" s="99">
        <f>31680-9726</f>
        <v>21954</v>
      </c>
      <c r="I16" s="99">
        <v>29</v>
      </c>
      <c r="J16" s="99">
        <v>7113</v>
      </c>
      <c r="K16" s="99">
        <v>40</v>
      </c>
      <c r="L16" s="99">
        <v>2838</v>
      </c>
      <c r="M16" s="99">
        <v>0</v>
      </c>
      <c r="N16" s="99">
        <v>0</v>
      </c>
      <c r="O16" s="99">
        <f t="shared" si="0"/>
        <v>14385</v>
      </c>
      <c r="P16" s="99">
        <f t="shared" si="1"/>
        <v>73930</v>
      </c>
      <c r="Q16" s="100">
        <f t="shared" si="2"/>
        <v>373.38383838383839</v>
      </c>
    </row>
    <row r="17" spans="1:17" s="62" customFormat="1" x14ac:dyDescent="0.2">
      <c r="A17" s="57">
        <v>12</v>
      </c>
      <c r="B17" s="98" t="s">
        <v>62</v>
      </c>
      <c r="C17" s="99">
        <v>1846</v>
      </c>
      <c r="D17" s="99">
        <v>7307</v>
      </c>
      <c r="E17" s="99">
        <v>1986</v>
      </c>
      <c r="F17" s="99">
        <v>4968</v>
      </c>
      <c r="G17" s="99">
        <v>156</v>
      </c>
      <c r="H17" s="99">
        <v>1438</v>
      </c>
      <c r="I17" s="99">
        <v>15</v>
      </c>
      <c r="J17" s="99">
        <v>194</v>
      </c>
      <c r="K17" s="99">
        <v>146</v>
      </c>
      <c r="L17" s="99">
        <v>516</v>
      </c>
      <c r="M17" s="99">
        <v>115</v>
      </c>
      <c r="N17" s="99">
        <v>6115</v>
      </c>
      <c r="O17" s="99">
        <f t="shared" si="0"/>
        <v>2418</v>
      </c>
      <c r="P17" s="99">
        <f t="shared" si="1"/>
        <v>13231</v>
      </c>
      <c r="Q17" s="100">
        <f t="shared" si="2"/>
        <v>181.07294375256603</v>
      </c>
    </row>
    <row r="18" spans="1:17" s="62" customFormat="1" x14ac:dyDescent="0.2">
      <c r="A18" s="57">
        <v>13</v>
      </c>
      <c r="B18" s="98" t="s">
        <v>63</v>
      </c>
      <c r="C18" s="99">
        <v>1874</v>
      </c>
      <c r="D18" s="99">
        <v>8495</v>
      </c>
      <c r="E18" s="99">
        <v>265</v>
      </c>
      <c r="F18" s="99">
        <v>1885</v>
      </c>
      <c r="G18" s="99">
        <v>32</v>
      </c>
      <c r="H18" s="99">
        <v>307</v>
      </c>
      <c r="I18" s="99">
        <v>27</v>
      </c>
      <c r="J18" s="99">
        <v>1408</v>
      </c>
      <c r="K18" s="99">
        <v>2</v>
      </c>
      <c r="L18" s="99">
        <v>21</v>
      </c>
      <c r="M18" s="99">
        <v>10</v>
      </c>
      <c r="N18" s="99">
        <v>1763</v>
      </c>
      <c r="O18" s="99">
        <f t="shared" si="0"/>
        <v>336</v>
      </c>
      <c r="P18" s="99">
        <f t="shared" si="1"/>
        <v>5384</v>
      </c>
      <c r="Q18" s="100">
        <f t="shared" si="2"/>
        <v>63.378457916421425</v>
      </c>
    </row>
    <row r="19" spans="1:17" s="62" customFormat="1" x14ac:dyDescent="0.2">
      <c r="A19" s="57">
        <v>14</v>
      </c>
      <c r="B19" s="102" t="s">
        <v>207</v>
      </c>
      <c r="C19" s="99">
        <v>4046</v>
      </c>
      <c r="D19" s="99">
        <v>16253</v>
      </c>
      <c r="E19" s="99">
        <v>965</v>
      </c>
      <c r="F19" s="99">
        <v>2732.33</v>
      </c>
      <c r="G19" s="99">
        <v>75</v>
      </c>
      <c r="H19" s="99">
        <v>1088.69</v>
      </c>
      <c r="I19" s="99">
        <v>4</v>
      </c>
      <c r="J19" s="99">
        <v>300</v>
      </c>
      <c r="K19" s="99">
        <v>0</v>
      </c>
      <c r="L19" s="99">
        <v>0</v>
      </c>
      <c r="M19" s="99">
        <v>59</v>
      </c>
      <c r="N19" s="99">
        <v>42</v>
      </c>
      <c r="O19" s="99">
        <f t="shared" si="0"/>
        <v>1103</v>
      </c>
      <c r="P19" s="99">
        <f t="shared" si="1"/>
        <v>4163.0200000000004</v>
      </c>
      <c r="Q19" s="100">
        <f t="shared" si="2"/>
        <v>25.613855903525508</v>
      </c>
    </row>
    <row r="20" spans="1:17" s="62" customFormat="1" x14ac:dyDescent="0.2">
      <c r="A20" s="57">
        <v>15</v>
      </c>
      <c r="B20" s="98" t="s">
        <v>208</v>
      </c>
      <c r="C20" s="99">
        <v>2008</v>
      </c>
      <c r="D20" s="99">
        <v>8121</v>
      </c>
      <c r="E20" s="99">
        <v>131</v>
      </c>
      <c r="F20" s="99">
        <v>527.48</v>
      </c>
      <c r="G20" s="99">
        <v>71</v>
      </c>
      <c r="H20" s="99">
        <v>284</v>
      </c>
      <c r="I20" s="99">
        <v>0</v>
      </c>
      <c r="J20" s="99">
        <v>0</v>
      </c>
      <c r="K20" s="99">
        <v>0</v>
      </c>
      <c r="L20" s="99">
        <v>0</v>
      </c>
      <c r="M20" s="99">
        <v>0</v>
      </c>
      <c r="N20" s="99">
        <v>0</v>
      </c>
      <c r="O20" s="99">
        <f t="shared" si="0"/>
        <v>202</v>
      </c>
      <c r="P20" s="99">
        <f t="shared" si="1"/>
        <v>811.48</v>
      </c>
      <c r="Q20" s="100">
        <f t="shared" si="2"/>
        <v>9.9923654722324837</v>
      </c>
    </row>
    <row r="21" spans="1:17" s="62" customFormat="1" x14ac:dyDescent="0.2">
      <c r="A21" s="57">
        <v>16</v>
      </c>
      <c r="B21" s="98" t="s">
        <v>64</v>
      </c>
      <c r="C21" s="99">
        <v>28512</v>
      </c>
      <c r="D21" s="99">
        <v>122478</v>
      </c>
      <c r="E21" s="99">
        <v>17179</v>
      </c>
      <c r="F21" s="99">
        <v>92175</v>
      </c>
      <c r="G21" s="99">
        <v>1528</v>
      </c>
      <c r="H21" s="99">
        <v>98066</v>
      </c>
      <c r="I21" s="99">
        <v>93</v>
      </c>
      <c r="J21" s="99">
        <v>21751</v>
      </c>
      <c r="K21" s="99">
        <v>11</v>
      </c>
      <c r="L21" s="99">
        <v>13</v>
      </c>
      <c r="M21" s="99">
        <v>0</v>
      </c>
      <c r="N21" s="99">
        <v>0</v>
      </c>
      <c r="O21" s="99">
        <f t="shared" si="0"/>
        <v>18811</v>
      </c>
      <c r="P21" s="99">
        <f t="shared" si="1"/>
        <v>212005</v>
      </c>
      <c r="Q21" s="100">
        <f t="shared" si="2"/>
        <v>173.09639282156795</v>
      </c>
    </row>
    <row r="22" spans="1:17" s="62" customFormat="1" x14ac:dyDescent="0.2">
      <c r="A22" s="57">
        <v>17</v>
      </c>
      <c r="B22" s="103" t="s">
        <v>69</v>
      </c>
      <c r="C22" s="99">
        <v>326</v>
      </c>
      <c r="D22" s="99">
        <v>1762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f t="shared" si="0"/>
        <v>0</v>
      </c>
      <c r="P22" s="99">
        <f t="shared" si="1"/>
        <v>0</v>
      </c>
      <c r="Q22" s="100">
        <f t="shared" si="2"/>
        <v>0</v>
      </c>
    </row>
    <row r="23" spans="1:17" s="62" customFormat="1" x14ac:dyDescent="0.2">
      <c r="A23" s="57">
        <v>18</v>
      </c>
      <c r="B23" s="98" t="s">
        <v>209</v>
      </c>
      <c r="C23" s="99">
        <v>298</v>
      </c>
      <c r="D23" s="99">
        <v>1375</v>
      </c>
      <c r="E23" s="99">
        <v>18</v>
      </c>
      <c r="F23" s="99">
        <v>29.79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f t="shared" si="0"/>
        <v>18</v>
      </c>
      <c r="P23" s="99">
        <f t="shared" si="1"/>
        <v>29.79</v>
      </c>
      <c r="Q23" s="100">
        <f t="shared" si="2"/>
        <v>2.1665454545454543</v>
      </c>
    </row>
    <row r="24" spans="1:17" s="62" customFormat="1" x14ac:dyDescent="0.2">
      <c r="A24" s="57">
        <v>19</v>
      </c>
      <c r="B24" s="104" t="s">
        <v>210</v>
      </c>
      <c r="C24" s="99">
        <v>896</v>
      </c>
      <c r="D24" s="99">
        <v>4096</v>
      </c>
      <c r="E24" s="99">
        <v>92</v>
      </c>
      <c r="F24" s="99">
        <v>475.9</v>
      </c>
      <c r="G24" s="99">
        <v>13</v>
      </c>
      <c r="H24" s="99">
        <v>275</v>
      </c>
      <c r="I24" s="99">
        <v>0</v>
      </c>
      <c r="J24" s="99">
        <v>0</v>
      </c>
      <c r="K24" s="99">
        <v>0</v>
      </c>
      <c r="L24" s="99">
        <v>0</v>
      </c>
      <c r="M24" s="99">
        <v>0</v>
      </c>
      <c r="N24" s="99">
        <v>0</v>
      </c>
      <c r="O24" s="99">
        <f t="shared" si="0"/>
        <v>105</v>
      </c>
      <c r="P24" s="99">
        <f t="shared" si="1"/>
        <v>750.9</v>
      </c>
      <c r="Q24" s="100">
        <f t="shared" si="2"/>
        <v>18.33251953125</v>
      </c>
    </row>
    <row r="25" spans="1:17" s="62" customFormat="1" x14ac:dyDescent="0.2">
      <c r="A25" s="57">
        <v>20</v>
      </c>
      <c r="B25" s="98" t="s">
        <v>211</v>
      </c>
      <c r="C25" s="99">
        <v>2994</v>
      </c>
      <c r="D25" s="99">
        <v>16183</v>
      </c>
      <c r="E25" s="99">
        <v>12</v>
      </c>
      <c r="F25" s="99">
        <v>50</v>
      </c>
      <c r="G25" s="99">
        <v>43</v>
      </c>
      <c r="H25" s="99">
        <v>100</v>
      </c>
      <c r="I25" s="99">
        <v>308</v>
      </c>
      <c r="J25" s="99">
        <v>305</v>
      </c>
      <c r="K25" s="99">
        <v>0</v>
      </c>
      <c r="L25" s="99">
        <v>0</v>
      </c>
      <c r="M25" s="99">
        <v>15</v>
      </c>
      <c r="N25" s="99">
        <v>200</v>
      </c>
      <c r="O25" s="99">
        <f t="shared" si="0"/>
        <v>378</v>
      </c>
      <c r="P25" s="99">
        <f t="shared" si="1"/>
        <v>655</v>
      </c>
      <c r="Q25" s="100">
        <f t="shared" si="2"/>
        <v>4.0474572081814246</v>
      </c>
    </row>
    <row r="26" spans="1:17" s="62" customFormat="1" x14ac:dyDescent="0.2">
      <c r="A26" s="57">
        <v>21</v>
      </c>
      <c r="B26" s="98" t="s">
        <v>212</v>
      </c>
      <c r="C26" s="99">
        <v>966</v>
      </c>
      <c r="D26" s="99">
        <v>4326</v>
      </c>
      <c r="E26" s="99">
        <v>283</v>
      </c>
      <c r="F26" s="99">
        <v>533</v>
      </c>
      <c r="G26" s="99">
        <v>3</v>
      </c>
      <c r="H26" s="99">
        <v>2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0</v>
      </c>
      <c r="O26" s="99">
        <f t="shared" si="0"/>
        <v>286</v>
      </c>
      <c r="P26" s="99">
        <f t="shared" si="1"/>
        <v>535</v>
      </c>
      <c r="Q26" s="100">
        <f t="shared" si="2"/>
        <v>12.36708275543227</v>
      </c>
    </row>
    <row r="27" spans="1:17" s="62" customFormat="1" x14ac:dyDescent="0.2">
      <c r="A27" s="57">
        <v>22</v>
      </c>
      <c r="B27" s="98" t="s">
        <v>70</v>
      </c>
      <c r="C27" s="99">
        <v>117829</v>
      </c>
      <c r="D27" s="99">
        <v>451789</v>
      </c>
      <c r="E27" s="99">
        <v>13169</v>
      </c>
      <c r="F27" s="99">
        <v>27995</v>
      </c>
      <c r="G27" s="99">
        <v>1602</v>
      </c>
      <c r="H27" s="99">
        <v>49921</v>
      </c>
      <c r="I27" s="99">
        <v>138</v>
      </c>
      <c r="J27" s="99">
        <v>16749</v>
      </c>
      <c r="K27" s="99">
        <v>79</v>
      </c>
      <c r="L27" s="99">
        <v>556</v>
      </c>
      <c r="M27" s="99">
        <v>0</v>
      </c>
      <c r="N27" s="99">
        <v>0</v>
      </c>
      <c r="O27" s="99">
        <f t="shared" si="0"/>
        <v>14988</v>
      </c>
      <c r="P27" s="99">
        <f t="shared" si="1"/>
        <v>95221</v>
      </c>
      <c r="Q27" s="100">
        <f t="shared" si="2"/>
        <v>21.07643169709754</v>
      </c>
    </row>
    <row r="28" spans="1:17" s="62" customFormat="1" x14ac:dyDescent="0.2">
      <c r="A28" s="57">
        <v>23</v>
      </c>
      <c r="B28" s="98" t="s">
        <v>65</v>
      </c>
      <c r="C28" s="99">
        <v>3768</v>
      </c>
      <c r="D28" s="99">
        <v>16286</v>
      </c>
      <c r="E28" s="99">
        <f>4867-783</f>
        <v>4084</v>
      </c>
      <c r="F28" s="99">
        <v>11405</v>
      </c>
      <c r="G28" s="99">
        <v>314</v>
      </c>
      <c r="H28" s="99">
        <v>5896</v>
      </c>
      <c r="I28" s="99">
        <v>14</v>
      </c>
      <c r="J28" s="99">
        <v>1539</v>
      </c>
      <c r="K28" s="99">
        <v>3</v>
      </c>
      <c r="L28" s="99">
        <v>16</v>
      </c>
      <c r="M28" s="99">
        <v>7833</v>
      </c>
      <c r="N28" s="99">
        <v>15438</v>
      </c>
      <c r="O28" s="99">
        <f t="shared" si="0"/>
        <v>12248</v>
      </c>
      <c r="P28" s="99">
        <f t="shared" si="1"/>
        <v>34294</v>
      </c>
      <c r="Q28" s="100">
        <f t="shared" si="2"/>
        <v>210.57349871054893</v>
      </c>
    </row>
    <row r="29" spans="1:17" s="62" customFormat="1" x14ac:dyDescent="0.2">
      <c r="A29" s="57">
        <v>24</v>
      </c>
      <c r="B29" s="98" t="s">
        <v>213</v>
      </c>
      <c r="C29" s="99">
        <v>12924</v>
      </c>
      <c r="D29" s="99">
        <v>57574</v>
      </c>
      <c r="E29" s="99">
        <v>1112</v>
      </c>
      <c r="F29" s="99">
        <v>10947</v>
      </c>
      <c r="G29" s="99">
        <v>107</v>
      </c>
      <c r="H29" s="99">
        <v>919</v>
      </c>
      <c r="I29" s="99">
        <v>0</v>
      </c>
      <c r="J29" s="99">
        <v>0</v>
      </c>
      <c r="K29" s="99">
        <v>1</v>
      </c>
      <c r="L29" s="99">
        <v>3</v>
      </c>
      <c r="M29" s="99">
        <v>381</v>
      </c>
      <c r="N29" s="99">
        <v>607</v>
      </c>
      <c r="O29" s="99">
        <f t="shared" si="0"/>
        <v>1601</v>
      </c>
      <c r="P29" s="99">
        <f t="shared" si="1"/>
        <v>12476</v>
      </c>
      <c r="Q29" s="100">
        <f t="shared" si="2"/>
        <v>21.669503595372912</v>
      </c>
    </row>
    <row r="30" spans="1:17" s="62" customFormat="1" x14ac:dyDescent="0.2">
      <c r="A30" s="57">
        <v>25</v>
      </c>
      <c r="B30" s="98" t="s">
        <v>66</v>
      </c>
      <c r="C30" s="99">
        <v>16712</v>
      </c>
      <c r="D30" s="99">
        <v>47945</v>
      </c>
      <c r="E30" s="99">
        <v>4717</v>
      </c>
      <c r="F30" s="99">
        <v>8112</v>
      </c>
      <c r="G30" s="99">
        <v>592</v>
      </c>
      <c r="H30" s="99">
        <v>4612</v>
      </c>
      <c r="I30" s="99">
        <v>396</v>
      </c>
      <c r="J30" s="99">
        <v>17009</v>
      </c>
      <c r="K30" s="99">
        <v>5</v>
      </c>
      <c r="L30" s="99">
        <v>25</v>
      </c>
      <c r="M30" s="99">
        <v>0</v>
      </c>
      <c r="N30" s="99">
        <v>0</v>
      </c>
      <c r="O30" s="99">
        <f t="shared" si="0"/>
        <v>5710</v>
      </c>
      <c r="P30" s="99">
        <f t="shared" si="1"/>
        <v>29758</v>
      </c>
      <c r="Q30" s="100">
        <f t="shared" si="2"/>
        <v>62.066951715507351</v>
      </c>
    </row>
    <row r="31" spans="1:17" s="62" customFormat="1" x14ac:dyDescent="0.2">
      <c r="A31" s="57">
        <v>26</v>
      </c>
      <c r="B31" s="101" t="s">
        <v>67</v>
      </c>
      <c r="C31" s="99">
        <v>1228</v>
      </c>
      <c r="D31" s="99">
        <v>5724</v>
      </c>
      <c r="E31" s="99">
        <v>777</v>
      </c>
      <c r="F31" s="99">
        <v>4072</v>
      </c>
      <c r="G31" s="99">
        <v>1</v>
      </c>
      <c r="H31" s="99">
        <v>21</v>
      </c>
      <c r="I31" s="99">
        <v>275</v>
      </c>
      <c r="J31" s="99">
        <v>1193</v>
      </c>
      <c r="K31" s="99">
        <v>0</v>
      </c>
      <c r="L31" s="99">
        <v>0</v>
      </c>
      <c r="M31" s="99">
        <v>0</v>
      </c>
      <c r="N31" s="99">
        <v>0</v>
      </c>
      <c r="O31" s="99">
        <f t="shared" si="0"/>
        <v>1053</v>
      </c>
      <c r="P31" s="99">
        <f t="shared" si="1"/>
        <v>5286</v>
      </c>
      <c r="Q31" s="100">
        <f t="shared" si="2"/>
        <v>92.348008385744237</v>
      </c>
    </row>
    <row r="32" spans="1:17" s="62" customFormat="1" x14ac:dyDescent="0.2">
      <c r="A32" s="57">
        <v>27</v>
      </c>
      <c r="B32" s="98" t="s">
        <v>50</v>
      </c>
      <c r="C32" s="99">
        <v>1648</v>
      </c>
      <c r="D32" s="99">
        <v>6743</v>
      </c>
      <c r="E32" s="99">
        <v>1583</v>
      </c>
      <c r="F32" s="99">
        <v>2544</v>
      </c>
      <c r="G32" s="99">
        <v>161</v>
      </c>
      <c r="H32" s="99">
        <v>2828</v>
      </c>
      <c r="I32" s="99">
        <v>2</v>
      </c>
      <c r="J32" s="99">
        <v>678</v>
      </c>
      <c r="K32" s="99">
        <v>0</v>
      </c>
      <c r="L32" s="99">
        <v>0</v>
      </c>
      <c r="M32" s="99">
        <v>0</v>
      </c>
      <c r="N32" s="99">
        <v>0</v>
      </c>
      <c r="O32" s="99">
        <f t="shared" si="0"/>
        <v>1746</v>
      </c>
      <c r="P32" s="99">
        <f t="shared" si="1"/>
        <v>6050</v>
      </c>
      <c r="Q32" s="100">
        <f t="shared" si="2"/>
        <v>89.722675367047302</v>
      </c>
    </row>
    <row r="33" spans="1:17" s="108" customFormat="1" x14ac:dyDescent="0.2">
      <c r="A33" s="317"/>
      <c r="B33" s="105" t="s">
        <v>214</v>
      </c>
      <c r="C33" s="106">
        <f>SUM(C6:C32)</f>
        <v>281421</v>
      </c>
      <c r="D33" s="106">
        <f>SUM(D6:D32)</f>
        <v>1194825</v>
      </c>
      <c r="E33" s="106">
        <f t="shared" ref="E33:N33" si="3">SUM(E6:E32)</f>
        <v>107576</v>
      </c>
      <c r="F33" s="106">
        <f t="shared" si="3"/>
        <v>374111.49</v>
      </c>
      <c r="G33" s="106">
        <f t="shared" si="3"/>
        <v>11676</v>
      </c>
      <c r="H33" s="106">
        <f t="shared" si="3"/>
        <v>322942.15000000002</v>
      </c>
      <c r="I33" s="106">
        <f t="shared" si="3"/>
        <v>1920</v>
      </c>
      <c r="J33" s="106">
        <f t="shared" si="3"/>
        <v>99871.69</v>
      </c>
      <c r="K33" s="106">
        <f t="shared" si="3"/>
        <v>459</v>
      </c>
      <c r="L33" s="106">
        <f t="shared" si="3"/>
        <v>4988.45</v>
      </c>
      <c r="M33" s="106">
        <f t="shared" si="3"/>
        <v>9283</v>
      </c>
      <c r="N33" s="106">
        <f t="shared" si="3"/>
        <v>26644.63</v>
      </c>
      <c r="O33" s="106">
        <f t="shared" ref="O33" si="4">SUM(O6:O32)</f>
        <v>130914</v>
      </c>
      <c r="P33" s="106">
        <f t="shared" ref="P33" si="5">SUM(P6:P32)</f>
        <v>828558.41</v>
      </c>
      <c r="Q33" s="97">
        <f t="shared" si="2"/>
        <v>69.345587010650092</v>
      </c>
    </row>
    <row r="34" spans="1:17" s="62" customFormat="1" x14ac:dyDescent="0.2">
      <c r="A34" s="57">
        <v>28</v>
      </c>
      <c r="B34" s="98" t="s">
        <v>47</v>
      </c>
      <c r="C34" s="99">
        <v>10504</v>
      </c>
      <c r="D34" s="99">
        <v>50015</v>
      </c>
      <c r="E34" s="99">
        <v>1223</v>
      </c>
      <c r="F34" s="99">
        <v>12385.64</v>
      </c>
      <c r="G34" s="99">
        <v>440</v>
      </c>
      <c r="H34" s="99">
        <v>10705.05</v>
      </c>
      <c r="I34" s="99">
        <v>98</v>
      </c>
      <c r="J34" s="99">
        <v>6753.6</v>
      </c>
      <c r="K34" s="99">
        <v>0</v>
      </c>
      <c r="L34" s="99">
        <v>0</v>
      </c>
      <c r="M34" s="99">
        <v>0</v>
      </c>
      <c r="N34" s="99">
        <v>0</v>
      </c>
      <c r="O34" s="99">
        <f t="shared" ref="O34:O43" si="6">E34+G34+I34+K34+M34</f>
        <v>1761</v>
      </c>
      <c r="P34" s="99">
        <f t="shared" ref="P34:P43" si="7">F34+H34+J34+L34+N34</f>
        <v>29844.29</v>
      </c>
      <c r="Q34" s="100">
        <f t="shared" si="2"/>
        <v>59.670678796361095</v>
      </c>
    </row>
    <row r="35" spans="1:17" s="62" customFormat="1" x14ac:dyDescent="0.2">
      <c r="A35" s="57">
        <v>29</v>
      </c>
      <c r="B35" s="98" t="s">
        <v>215</v>
      </c>
      <c r="C35" s="99">
        <v>132</v>
      </c>
      <c r="D35" s="99">
        <v>468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941</v>
      </c>
      <c r="N35" s="99">
        <v>396</v>
      </c>
      <c r="O35" s="99">
        <f t="shared" si="6"/>
        <v>941</v>
      </c>
      <c r="P35" s="99">
        <f t="shared" si="7"/>
        <v>396</v>
      </c>
      <c r="Q35" s="100">
        <f t="shared" si="2"/>
        <v>84.615384615384613</v>
      </c>
    </row>
    <row r="36" spans="1:17" s="62" customFormat="1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f t="shared" si="6"/>
        <v>0</v>
      </c>
      <c r="P36" s="99">
        <f t="shared" si="7"/>
        <v>0</v>
      </c>
      <c r="Q36" s="100">
        <v>0</v>
      </c>
    </row>
    <row r="37" spans="1:17" s="62" customFormat="1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f t="shared" si="6"/>
        <v>0</v>
      </c>
      <c r="P37" s="99">
        <f t="shared" si="7"/>
        <v>0</v>
      </c>
      <c r="Q37" s="100">
        <v>0</v>
      </c>
    </row>
    <row r="38" spans="1:17" s="62" customFormat="1" x14ac:dyDescent="0.2">
      <c r="A38" s="57">
        <v>32</v>
      </c>
      <c r="B38" s="98" t="s">
        <v>51</v>
      </c>
      <c r="C38" s="99">
        <v>166</v>
      </c>
      <c r="D38" s="99">
        <v>906</v>
      </c>
      <c r="E38" s="99">
        <v>3</v>
      </c>
      <c r="F38" s="99">
        <v>59.71</v>
      </c>
      <c r="G38" s="99">
        <v>0</v>
      </c>
      <c r="H38" s="99">
        <v>0</v>
      </c>
      <c r="I38" s="99">
        <v>3</v>
      </c>
      <c r="J38" s="99">
        <v>122.51</v>
      </c>
      <c r="K38" s="99">
        <v>0</v>
      </c>
      <c r="L38" s="99">
        <v>0</v>
      </c>
      <c r="M38" s="99">
        <v>0</v>
      </c>
      <c r="N38" s="99">
        <v>0</v>
      </c>
      <c r="O38" s="99">
        <f t="shared" si="6"/>
        <v>6</v>
      </c>
      <c r="P38" s="99">
        <f t="shared" si="7"/>
        <v>182.22</v>
      </c>
      <c r="Q38" s="100">
        <f t="shared" ref="Q38:Q43" si="8">P38*100/D38</f>
        <v>20.112582781456954</v>
      </c>
    </row>
    <row r="39" spans="1:17" s="62" customFormat="1" x14ac:dyDescent="0.2">
      <c r="A39" s="57">
        <v>33</v>
      </c>
      <c r="B39" s="98" t="s">
        <v>217</v>
      </c>
      <c r="C39" s="99">
        <v>19</v>
      </c>
      <c r="D39" s="99">
        <v>226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f t="shared" si="6"/>
        <v>0</v>
      </c>
      <c r="P39" s="99">
        <f t="shared" si="7"/>
        <v>0</v>
      </c>
      <c r="Q39" s="100">
        <f t="shared" si="8"/>
        <v>0</v>
      </c>
    </row>
    <row r="40" spans="1:17" s="62" customFormat="1" x14ac:dyDescent="0.2">
      <c r="A40" s="57">
        <v>34</v>
      </c>
      <c r="B40" s="98" t="s">
        <v>218</v>
      </c>
      <c r="C40" s="99">
        <v>104</v>
      </c>
      <c r="D40" s="99">
        <v>399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99">
        <v>0</v>
      </c>
      <c r="O40" s="99">
        <f t="shared" si="6"/>
        <v>0</v>
      </c>
      <c r="P40" s="99">
        <f t="shared" si="7"/>
        <v>0</v>
      </c>
      <c r="Q40" s="100">
        <f t="shared" si="8"/>
        <v>0</v>
      </c>
    </row>
    <row r="41" spans="1:17" s="62" customFormat="1" x14ac:dyDescent="0.2">
      <c r="A41" s="57">
        <v>35</v>
      </c>
      <c r="B41" s="98" t="s">
        <v>219</v>
      </c>
      <c r="C41" s="99">
        <v>575</v>
      </c>
      <c r="D41" s="99">
        <v>2268</v>
      </c>
      <c r="E41" s="99">
        <v>48</v>
      </c>
      <c r="F41" s="99">
        <v>1242.49</v>
      </c>
      <c r="G41" s="99">
        <v>11</v>
      </c>
      <c r="H41" s="99">
        <v>398</v>
      </c>
      <c r="I41" s="99">
        <v>1</v>
      </c>
      <c r="J41" s="99">
        <v>750</v>
      </c>
      <c r="K41" s="99">
        <v>0</v>
      </c>
      <c r="L41" s="99">
        <v>0</v>
      </c>
      <c r="M41" s="99">
        <v>0</v>
      </c>
      <c r="N41" s="99">
        <v>0</v>
      </c>
      <c r="O41" s="99">
        <f t="shared" si="6"/>
        <v>60</v>
      </c>
      <c r="P41" s="99">
        <f t="shared" si="7"/>
        <v>2390.4899999999998</v>
      </c>
      <c r="Q41" s="100">
        <f t="shared" si="8"/>
        <v>105.40079365079364</v>
      </c>
    </row>
    <row r="42" spans="1:17" s="62" customFormat="1" x14ac:dyDescent="0.2">
      <c r="A42" s="57">
        <v>36</v>
      </c>
      <c r="B42" s="98" t="s">
        <v>71</v>
      </c>
      <c r="C42" s="99">
        <v>13760</v>
      </c>
      <c r="D42" s="99">
        <v>65246</v>
      </c>
      <c r="E42" s="99">
        <v>54970</v>
      </c>
      <c r="F42" s="99">
        <v>60855</v>
      </c>
      <c r="G42" s="99">
        <v>2005</v>
      </c>
      <c r="H42" s="99">
        <v>43258</v>
      </c>
      <c r="I42" s="99">
        <v>124</v>
      </c>
      <c r="J42" s="99">
        <v>4765</v>
      </c>
      <c r="K42" s="99">
        <v>0</v>
      </c>
      <c r="L42" s="99">
        <v>0</v>
      </c>
      <c r="M42" s="99">
        <v>0</v>
      </c>
      <c r="N42" s="99">
        <v>0</v>
      </c>
      <c r="O42" s="99">
        <f t="shared" si="6"/>
        <v>57099</v>
      </c>
      <c r="P42" s="99">
        <f t="shared" si="7"/>
        <v>108878</v>
      </c>
      <c r="Q42" s="100">
        <f t="shared" si="8"/>
        <v>166.87306501547988</v>
      </c>
    </row>
    <row r="43" spans="1:17" s="62" customFormat="1" x14ac:dyDescent="0.2">
      <c r="A43" s="57">
        <v>37</v>
      </c>
      <c r="B43" s="98" t="s">
        <v>72</v>
      </c>
      <c r="C43" s="99">
        <v>12948</v>
      </c>
      <c r="D43" s="99">
        <v>58329</v>
      </c>
      <c r="E43" s="99">
        <v>2102</v>
      </c>
      <c r="F43" s="99">
        <f>95080-17472</f>
        <v>77608</v>
      </c>
      <c r="G43" s="99">
        <v>4192</v>
      </c>
      <c r="H43" s="99">
        <v>65955</v>
      </c>
      <c r="I43" s="99">
        <v>81</v>
      </c>
      <c r="J43" s="99">
        <v>4541</v>
      </c>
      <c r="K43" s="99">
        <v>0</v>
      </c>
      <c r="L43" s="99">
        <v>0</v>
      </c>
      <c r="M43" s="99">
        <v>0</v>
      </c>
      <c r="N43" s="99">
        <v>0</v>
      </c>
      <c r="O43" s="99">
        <f t="shared" si="6"/>
        <v>6375</v>
      </c>
      <c r="P43" s="99">
        <f t="shared" si="7"/>
        <v>148104</v>
      </c>
      <c r="Q43" s="100">
        <f t="shared" si="8"/>
        <v>253.91143342076839</v>
      </c>
    </row>
    <row r="44" spans="1:17" s="62" customFormat="1" x14ac:dyDescent="0.2">
      <c r="A44" s="57">
        <v>38</v>
      </c>
      <c r="B44" s="98" t="s">
        <v>220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v>0</v>
      </c>
      <c r="L44" s="99">
        <v>0</v>
      </c>
      <c r="M44" s="99">
        <v>0</v>
      </c>
      <c r="N44" s="99">
        <v>0</v>
      </c>
      <c r="O44" s="99">
        <v>0</v>
      </c>
      <c r="P44" s="99">
        <v>0</v>
      </c>
      <c r="Q44" s="100">
        <v>0</v>
      </c>
    </row>
    <row r="45" spans="1:17" s="62" customFormat="1" x14ac:dyDescent="0.2">
      <c r="A45" s="57">
        <v>39</v>
      </c>
      <c r="B45" s="98" t="s">
        <v>221</v>
      </c>
      <c r="C45" s="99">
        <v>3170</v>
      </c>
      <c r="D45" s="99">
        <v>16864</v>
      </c>
      <c r="E45" s="99">
        <v>4178</v>
      </c>
      <c r="F45" s="99">
        <v>5657</v>
      </c>
      <c r="G45" s="99">
        <v>872</v>
      </c>
      <c r="H45" s="99">
        <v>18366</v>
      </c>
      <c r="I45" s="99">
        <v>13</v>
      </c>
      <c r="J45" s="99">
        <v>1856</v>
      </c>
      <c r="K45" s="99">
        <v>0</v>
      </c>
      <c r="L45" s="99">
        <v>0</v>
      </c>
      <c r="M45" s="99">
        <v>2689</v>
      </c>
      <c r="N45" s="99">
        <v>18593</v>
      </c>
      <c r="O45" s="99">
        <f t="shared" ref="O45:O55" si="9">E45+G45+I45+K45+M45</f>
        <v>7752</v>
      </c>
      <c r="P45" s="99">
        <f t="shared" ref="P45:P55" si="10">F45+H45+J45+L45+N45</f>
        <v>44472</v>
      </c>
      <c r="Q45" s="100">
        <f t="shared" ref="Q45:Q52" si="11">P45*100/D45</f>
        <v>263.70967741935482</v>
      </c>
    </row>
    <row r="46" spans="1:17" s="62" customFormat="1" x14ac:dyDescent="0.2">
      <c r="A46" s="57">
        <v>40</v>
      </c>
      <c r="B46" s="98" t="s">
        <v>222</v>
      </c>
      <c r="C46" s="99">
        <v>468</v>
      </c>
      <c r="D46" s="99">
        <v>2748</v>
      </c>
      <c r="E46" s="99">
        <v>0</v>
      </c>
      <c r="F46" s="99">
        <v>0</v>
      </c>
      <c r="G46" s="99">
        <v>5</v>
      </c>
      <c r="H46" s="99">
        <v>23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0</v>
      </c>
      <c r="O46" s="99">
        <f t="shared" si="9"/>
        <v>5</v>
      </c>
      <c r="P46" s="99">
        <f t="shared" si="10"/>
        <v>23</v>
      </c>
      <c r="Q46" s="100">
        <f t="shared" si="11"/>
        <v>0.83697234352256189</v>
      </c>
    </row>
    <row r="47" spans="1:17" s="62" customFormat="1" x14ac:dyDescent="0.2">
      <c r="A47" s="57">
        <v>41</v>
      </c>
      <c r="B47" s="98" t="s">
        <v>223</v>
      </c>
      <c r="C47" s="99">
        <v>792</v>
      </c>
      <c r="D47" s="99">
        <v>3084</v>
      </c>
      <c r="E47" s="99">
        <v>25</v>
      </c>
      <c r="F47" s="99">
        <v>69.53</v>
      </c>
      <c r="G47" s="99">
        <v>19</v>
      </c>
      <c r="H47" s="99">
        <v>605.87</v>
      </c>
      <c r="I47" s="99">
        <v>3</v>
      </c>
      <c r="J47" s="99">
        <v>590.28</v>
      </c>
      <c r="K47" s="99">
        <v>0</v>
      </c>
      <c r="L47" s="99">
        <v>0</v>
      </c>
      <c r="M47" s="99">
        <v>38</v>
      </c>
      <c r="N47" s="99">
        <v>1376.7</v>
      </c>
      <c r="O47" s="99">
        <f t="shared" si="9"/>
        <v>85</v>
      </c>
      <c r="P47" s="99">
        <f t="shared" si="10"/>
        <v>2642.38</v>
      </c>
      <c r="Q47" s="100">
        <f t="shared" si="11"/>
        <v>85.680285343709471</v>
      </c>
    </row>
    <row r="48" spans="1:17" s="62" customFormat="1" x14ac:dyDescent="0.2">
      <c r="A48" s="57">
        <v>42</v>
      </c>
      <c r="B48" s="98" t="s">
        <v>224</v>
      </c>
      <c r="C48" s="99">
        <v>238</v>
      </c>
      <c r="D48" s="99">
        <v>1273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99">
        <v>0</v>
      </c>
      <c r="O48" s="99">
        <f t="shared" si="9"/>
        <v>0</v>
      </c>
      <c r="P48" s="99">
        <f t="shared" si="10"/>
        <v>0</v>
      </c>
      <c r="Q48" s="100">
        <f t="shared" si="11"/>
        <v>0</v>
      </c>
    </row>
    <row r="49" spans="1:17" s="62" customFormat="1" x14ac:dyDescent="0.2">
      <c r="A49" s="57">
        <v>43</v>
      </c>
      <c r="B49" s="107" t="s">
        <v>73</v>
      </c>
      <c r="C49" s="99">
        <v>3716</v>
      </c>
      <c r="D49" s="99">
        <v>20050</v>
      </c>
      <c r="E49" s="99">
        <v>402</v>
      </c>
      <c r="F49" s="99">
        <v>6741</v>
      </c>
      <c r="G49" s="99">
        <v>660</v>
      </c>
      <c r="H49" s="99">
        <v>10561</v>
      </c>
      <c r="I49" s="99">
        <v>73</v>
      </c>
      <c r="J49" s="99">
        <v>1640</v>
      </c>
      <c r="K49" s="99">
        <v>0</v>
      </c>
      <c r="L49" s="99">
        <v>0</v>
      </c>
      <c r="M49" s="99">
        <v>0</v>
      </c>
      <c r="N49" s="99">
        <v>0</v>
      </c>
      <c r="O49" s="99">
        <f t="shared" si="9"/>
        <v>1135</v>
      </c>
      <c r="P49" s="99">
        <f t="shared" si="10"/>
        <v>18942</v>
      </c>
      <c r="Q49" s="100">
        <f t="shared" si="11"/>
        <v>94.473815461346632</v>
      </c>
    </row>
    <row r="50" spans="1:17" s="62" customFormat="1" x14ac:dyDescent="0.2">
      <c r="A50" s="57">
        <v>44</v>
      </c>
      <c r="B50" s="98" t="s">
        <v>225</v>
      </c>
      <c r="C50" s="99">
        <v>172</v>
      </c>
      <c r="D50" s="99">
        <v>936</v>
      </c>
      <c r="E50" s="99">
        <v>1</v>
      </c>
      <c r="F50" s="99">
        <v>122</v>
      </c>
      <c r="G50" s="99">
        <v>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99">
        <v>0</v>
      </c>
      <c r="O50" s="99">
        <f t="shared" si="9"/>
        <v>1</v>
      </c>
      <c r="P50" s="99">
        <f t="shared" si="10"/>
        <v>122</v>
      </c>
      <c r="Q50" s="100">
        <f t="shared" si="11"/>
        <v>13.034188034188034</v>
      </c>
    </row>
    <row r="51" spans="1:17" s="62" customFormat="1" x14ac:dyDescent="0.2">
      <c r="A51" s="57">
        <v>45</v>
      </c>
      <c r="B51" s="98" t="s">
        <v>226</v>
      </c>
      <c r="C51" s="99">
        <v>88</v>
      </c>
      <c r="D51" s="99">
        <v>358</v>
      </c>
      <c r="E51" s="99">
        <v>933</v>
      </c>
      <c r="F51" s="99">
        <v>7163</v>
      </c>
      <c r="G51" s="99">
        <v>119</v>
      </c>
      <c r="H51" s="99">
        <v>2253</v>
      </c>
      <c r="I51" s="99">
        <v>5</v>
      </c>
      <c r="J51" s="99">
        <v>231</v>
      </c>
      <c r="K51" s="99">
        <v>0</v>
      </c>
      <c r="L51" s="99">
        <v>0</v>
      </c>
      <c r="M51" s="99">
        <v>0</v>
      </c>
      <c r="N51" s="99">
        <v>0</v>
      </c>
      <c r="O51" s="99">
        <f t="shared" si="9"/>
        <v>1057</v>
      </c>
      <c r="P51" s="99">
        <f t="shared" si="10"/>
        <v>9647</v>
      </c>
      <c r="Q51" s="100">
        <f t="shared" si="11"/>
        <v>2694.6927374301677</v>
      </c>
    </row>
    <row r="52" spans="1:17" s="62" customFormat="1" x14ac:dyDescent="0.2">
      <c r="A52" s="57">
        <v>46</v>
      </c>
      <c r="B52" s="98" t="s">
        <v>227</v>
      </c>
      <c r="C52" s="99">
        <v>290</v>
      </c>
      <c r="D52" s="99">
        <v>1377</v>
      </c>
      <c r="E52" s="99">
        <v>0</v>
      </c>
      <c r="F52" s="99">
        <v>0</v>
      </c>
      <c r="G52" s="99">
        <v>0</v>
      </c>
      <c r="H52" s="99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</v>
      </c>
      <c r="O52" s="99">
        <f t="shared" si="9"/>
        <v>0</v>
      </c>
      <c r="P52" s="99">
        <f t="shared" si="10"/>
        <v>0</v>
      </c>
      <c r="Q52" s="100">
        <f t="shared" si="11"/>
        <v>0</v>
      </c>
    </row>
    <row r="53" spans="1:17" s="62" customFormat="1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f t="shared" si="9"/>
        <v>0</v>
      </c>
      <c r="P53" s="99">
        <f t="shared" si="10"/>
        <v>0</v>
      </c>
      <c r="Q53" s="100">
        <v>0</v>
      </c>
    </row>
    <row r="54" spans="1:17" s="62" customFormat="1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f t="shared" si="9"/>
        <v>0</v>
      </c>
      <c r="P54" s="99">
        <f t="shared" si="10"/>
        <v>0</v>
      </c>
      <c r="Q54" s="100">
        <v>0</v>
      </c>
    </row>
    <row r="55" spans="1:17" s="62" customFormat="1" x14ac:dyDescent="0.2">
      <c r="A55" s="57">
        <v>49</v>
      </c>
      <c r="B55" s="98" t="s">
        <v>76</v>
      </c>
      <c r="C55" s="99">
        <v>928</v>
      </c>
      <c r="D55" s="99">
        <v>3588</v>
      </c>
      <c r="E55" s="99">
        <v>388</v>
      </c>
      <c r="F55" s="99">
        <v>2879</v>
      </c>
      <c r="G55" s="99">
        <v>51</v>
      </c>
      <c r="H55" s="99">
        <v>1227</v>
      </c>
      <c r="I55" s="99">
        <v>7</v>
      </c>
      <c r="J55" s="99">
        <v>1050</v>
      </c>
      <c r="K55" s="99">
        <v>0</v>
      </c>
      <c r="L55" s="99">
        <v>0</v>
      </c>
      <c r="M55" s="99">
        <v>0</v>
      </c>
      <c r="N55" s="99">
        <v>0</v>
      </c>
      <c r="O55" s="99">
        <f t="shared" si="9"/>
        <v>446</v>
      </c>
      <c r="P55" s="99">
        <f t="shared" si="10"/>
        <v>5156</v>
      </c>
      <c r="Q55" s="100">
        <f t="shared" ref="Q55:Q63" si="12">P55*100/D55</f>
        <v>143.70122630992196</v>
      </c>
    </row>
    <row r="56" spans="1:17" s="62" customFormat="1" x14ac:dyDescent="0.2">
      <c r="A56" s="60"/>
      <c r="B56" s="105" t="s">
        <v>289</v>
      </c>
      <c r="C56" s="106">
        <f>SUM(C34:C55)</f>
        <v>48070</v>
      </c>
      <c r="D56" s="106">
        <f>SUM(D34:D55)</f>
        <v>228135</v>
      </c>
      <c r="E56" s="106">
        <f t="shared" ref="E56:N56" si="13">SUM(E34:E55)</f>
        <v>64273</v>
      </c>
      <c r="F56" s="106">
        <f t="shared" si="13"/>
        <v>174782.37</v>
      </c>
      <c r="G56" s="106">
        <f t="shared" si="13"/>
        <v>8374</v>
      </c>
      <c r="H56" s="106">
        <f t="shared" si="13"/>
        <v>153351.91999999998</v>
      </c>
      <c r="I56" s="106">
        <f t="shared" si="13"/>
        <v>408</v>
      </c>
      <c r="J56" s="106">
        <f t="shared" si="13"/>
        <v>22299.39</v>
      </c>
      <c r="K56" s="106">
        <f t="shared" si="13"/>
        <v>0</v>
      </c>
      <c r="L56" s="106">
        <f t="shared" si="13"/>
        <v>0</v>
      </c>
      <c r="M56" s="106">
        <f t="shared" si="13"/>
        <v>3668</v>
      </c>
      <c r="N56" s="106">
        <f t="shared" si="13"/>
        <v>20365.7</v>
      </c>
      <c r="O56" s="106">
        <f t="shared" ref="O56" si="14">SUM(O34:O55)</f>
        <v>76723</v>
      </c>
      <c r="P56" s="106">
        <f t="shared" ref="P56" si="15">SUM(P34:P55)</f>
        <v>370799.38</v>
      </c>
      <c r="Q56" s="97">
        <f t="shared" si="12"/>
        <v>162.53506914765381</v>
      </c>
    </row>
    <row r="57" spans="1:17" s="62" customFormat="1" x14ac:dyDescent="0.2">
      <c r="A57" s="57">
        <v>50</v>
      </c>
      <c r="B57" s="98" t="s">
        <v>46</v>
      </c>
      <c r="C57" s="99">
        <v>12689</v>
      </c>
      <c r="D57" s="99">
        <v>36924</v>
      </c>
      <c r="E57" s="99">
        <v>1960</v>
      </c>
      <c r="F57" s="99">
        <v>2668.06</v>
      </c>
      <c r="G57" s="99">
        <v>439</v>
      </c>
      <c r="H57" s="99">
        <v>603.04</v>
      </c>
      <c r="I57" s="99">
        <v>0</v>
      </c>
      <c r="J57" s="99">
        <v>0</v>
      </c>
      <c r="K57" s="99">
        <v>73</v>
      </c>
      <c r="L57" s="99">
        <v>77.849999999999994</v>
      </c>
      <c r="M57" s="99">
        <v>0</v>
      </c>
      <c r="N57" s="99">
        <v>0</v>
      </c>
      <c r="O57" s="99">
        <f t="shared" ref="O57:P59" si="16">E57+G57+I57+K57+M57</f>
        <v>2472</v>
      </c>
      <c r="P57" s="99">
        <f t="shared" si="16"/>
        <v>3348.95</v>
      </c>
      <c r="Q57" s="100">
        <f t="shared" si="12"/>
        <v>9.0698461705124043</v>
      </c>
    </row>
    <row r="58" spans="1:17" s="62" customFormat="1" x14ac:dyDescent="0.2">
      <c r="A58" s="57">
        <v>51</v>
      </c>
      <c r="B58" s="98" t="s">
        <v>229</v>
      </c>
      <c r="C58" s="99">
        <v>11420</v>
      </c>
      <c r="D58" s="99">
        <v>24495</v>
      </c>
      <c r="E58" s="99">
        <v>22649</v>
      </c>
      <c r="F58" s="99">
        <v>14220</v>
      </c>
      <c r="G58" s="99">
        <v>0</v>
      </c>
      <c r="H58" s="99">
        <v>0</v>
      </c>
      <c r="I58" s="99">
        <v>0</v>
      </c>
      <c r="J58" s="99">
        <v>0</v>
      </c>
      <c r="K58" s="99">
        <v>28</v>
      </c>
      <c r="L58" s="99">
        <v>48</v>
      </c>
      <c r="M58" s="99">
        <v>0</v>
      </c>
      <c r="N58" s="99">
        <v>0</v>
      </c>
      <c r="O58" s="99">
        <f t="shared" si="16"/>
        <v>22677</v>
      </c>
      <c r="P58" s="99">
        <f t="shared" si="16"/>
        <v>14268</v>
      </c>
      <c r="Q58" s="100">
        <f t="shared" si="12"/>
        <v>58.248622167789343</v>
      </c>
    </row>
    <row r="59" spans="1:17" s="62" customFormat="1" x14ac:dyDescent="0.2">
      <c r="A59" s="57">
        <v>52</v>
      </c>
      <c r="B59" s="98" t="s">
        <v>52</v>
      </c>
      <c r="C59" s="99">
        <v>9667</v>
      </c>
      <c r="D59" s="99">
        <v>20727</v>
      </c>
      <c r="E59" s="99">
        <v>4349</v>
      </c>
      <c r="F59" s="99">
        <v>8586.9</v>
      </c>
      <c r="G59" s="99">
        <v>62</v>
      </c>
      <c r="H59" s="99">
        <v>1331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f t="shared" si="16"/>
        <v>4411</v>
      </c>
      <c r="P59" s="99">
        <f t="shared" si="16"/>
        <v>9917.9</v>
      </c>
      <c r="Q59" s="100">
        <f t="shared" si="12"/>
        <v>47.850147151059005</v>
      </c>
    </row>
    <row r="60" spans="1:17" s="108" customFormat="1" x14ac:dyDescent="0.2">
      <c r="A60" s="317"/>
      <c r="B60" s="60" t="s">
        <v>295</v>
      </c>
      <c r="C60" s="106">
        <f>SUM(C57:C59)</f>
        <v>33776</v>
      </c>
      <c r="D60" s="106">
        <f>SUM(D57:D59)</f>
        <v>82146</v>
      </c>
      <c r="E60" s="106">
        <f t="shared" ref="E60:N60" si="17">SUM(E57:E59)</f>
        <v>28958</v>
      </c>
      <c r="F60" s="106">
        <f t="shared" si="17"/>
        <v>25474.959999999999</v>
      </c>
      <c r="G60" s="106">
        <f t="shared" si="17"/>
        <v>501</v>
      </c>
      <c r="H60" s="106">
        <f t="shared" si="17"/>
        <v>1934.04</v>
      </c>
      <c r="I60" s="106">
        <f t="shared" si="17"/>
        <v>0</v>
      </c>
      <c r="J60" s="106">
        <f t="shared" si="17"/>
        <v>0</v>
      </c>
      <c r="K60" s="106">
        <f t="shared" si="17"/>
        <v>101</v>
      </c>
      <c r="L60" s="106">
        <f t="shared" si="17"/>
        <v>125.85</v>
      </c>
      <c r="M60" s="106">
        <f t="shared" si="17"/>
        <v>0</v>
      </c>
      <c r="N60" s="106">
        <f t="shared" si="17"/>
        <v>0</v>
      </c>
      <c r="O60" s="106">
        <f t="shared" ref="O60" si="18">SUM(O57:O59)</f>
        <v>29560</v>
      </c>
      <c r="P60" s="106">
        <f t="shared" ref="P60" si="19">SUM(P57:P59)</f>
        <v>27534.85</v>
      </c>
      <c r="Q60" s="97">
        <f t="shared" si="12"/>
        <v>33.519404474959217</v>
      </c>
    </row>
    <row r="61" spans="1:17" s="62" customFormat="1" x14ac:dyDescent="0.2">
      <c r="A61" s="57">
        <v>53</v>
      </c>
      <c r="B61" s="58" t="s">
        <v>290</v>
      </c>
      <c r="C61" s="99">
        <v>19657</v>
      </c>
      <c r="D61" s="99">
        <v>107223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f>E61+G61+I61+K61+M61</f>
        <v>0</v>
      </c>
      <c r="P61" s="99">
        <f>F61+H61+J61+L61+N61</f>
        <v>0</v>
      </c>
      <c r="Q61" s="100">
        <f t="shared" si="12"/>
        <v>0</v>
      </c>
    </row>
    <row r="62" spans="1:17" s="108" customFormat="1" x14ac:dyDescent="0.2">
      <c r="A62" s="317"/>
      <c r="B62" s="60" t="s">
        <v>291</v>
      </c>
      <c r="C62" s="106">
        <f>C61</f>
        <v>19657</v>
      </c>
      <c r="D62" s="106">
        <f>D61</f>
        <v>107223</v>
      </c>
      <c r="E62" s="106">
        <f t="shared" ref="E62:N62" si="20">E61</f>
        <v>0</v>
      </c>
      <c r="F62" s="106">
        <f t="shared" si="20"/>
        <v>0</v>
      </c>
      <c r="G62" s="106">
        <f t="shared" si="20"/>
        <v>0</v>
      </c>
      <c r="H62" s="106">
        <f t="shared" si="20"/>
        <v>0</v>
      </c>
      <c r="I62" s="106">
        <f t="shared" si="20"/>
        <v>0</v>
      </c>
      <c r="J62" s="106">
        <f t="shared" si="20"/>
        <v>0</v>
      </c>
      <c r="K62" s="106">
        <f t="shared" si="20"/>
        <v>0</v>
      </c>
      <c r="L62" s="106">
        <f t="shared" si="20"/>
        <v>0</v>
      </c>
      <c r="M62" s="106">
        <f t="shared" si="20"/>
        <v>0</v>
      </c>
      <c r="N62" s="106">
        <f t="shared" si="20"/>
        <v>0</v>
      </c>
      <c r="O62" s="106">
        <f t="shared" ref="O62" si="21">O61</f>
        <v>0</v>
      </c>
      <c r="P62" s="106">
        <f t="shared" ref="P62" si="22">P61</f>
        <v>0</v>
      </c>
      <c r="Q62" s="97">
        <f t="shared" si="12"/>
        <v>0</v>
      </c>
    </row>
    <row r="63" spans="1:17" s="108" customFormat="1" x14ac:dyDescent="0.2">
      <c r="A63" s="317"/>
      <c r="B63" s="60" t="s">
        <v>292</v>
      </c>
      <c r="C63" s="106">
        <f>C62+C60+C56+C33</f>
        <v>382924</v>
      </c>
      <c r="D63" s="106">
        <f>D62+D60+D56+D33</f>
        <v>1612329</v>
      </c>
      <c r="E63" s="106">
        <f t="shared" ref="E63:N63" si="23">E62+E60+E56+E33</f>
        <v>200807</v>
      </c>
      <c r="F63" s="106">
        <f t="shared" si="23"/>
        <v>574368.81999999995</v>
      </c>
      <c r="G63" s="106">
        <f t="shared" si="23"/>
        <v>20551</v>
      </c>
      <c r="H63" s="106">
        <f t="shared" si="23"/>
        <v>478228.11</v>
      </c>
      <c r="I63" s="106">
        <f t="shared" si="23"/>
        <v>2328</v>
      </c>
      <c r="J63" s="106">
        <f t="shared" si="23"/>
        <v>122171.08</v>
      </c>
      <c r="K63" s="106">
        <f t="shared" si="23"/>
        <v>560</v>
      </c>
      <c r="L63" s="106">
        <f t="shared" si="23"/>
        <v>5114.3</v>
      </c>
      <c r="M63" s="106">
        <f t="shared" si="23"/>
        <v>12951</v>
      </c>
      <c r="N63" s="106">
        <f t="shared" si="23"/>
        <v>47010.33</v>
      </c>
      <c r="O63" s="106">
        <f t="shared" ref="O63" si="24">O62+O60+O56+O33</f>
        <v>237197</v>
      </c>
      <c r="P63" s="106">
        <f t="shared" ref="P63" si="25">P62+P60+P56+P33</f>
        <v>1226892.6400000001</v>
      </c>
      <c r="Q63" s="97">
        <f t="shared" si="12"/>
        <v>76.094434820684867</v>
      </c>
    </row>
    <row r="64" spans="1:17" s="62" customFormat="1" x14ac:dyDescent="0.2">
      <c r="A64" s="61"/>
      <c r="C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09"/>
    </row>
    <row r="65" spans="3:17" s="62" customFormat="1" x14ac:dyDescent="0.2"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09"/>
    </row>
    <row r="66" spans="3:17" s="62" customFormat="1" x14ac:dyDescent="0.2">
      <c r="C66" s="111"/>
      <c r="D66" s="111" t="s">
        <v>1221</v>
      </c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09"/>
    </row>
    <row r="67" spans="3:17" s="62" customFormat="1" x14ac:dyDescent="0.2"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09"/>
    </row>
    <row r="68" spans="3:17" s="62" customFormat="1" x14ac:dyDescent="0.2"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09"/>
    </row>
    <row r="69" spans="3:17" s="62" customFormat="1" x14ac:dyDescent="0.2"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09"/>
    </row>
    <row r="70" spans="3:17" s="62" customFormat="1" x14ac:dyDescent="0.2"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09"/>
    </row>
    <row r="71" spans="3:17" s="62" customFormat="1" x14ac:dyDescent="0.2"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09"/>
    </row>
    <row r="72" spans="3:17" s="62" customFormat="1" x14ac:dyDescent="0.2"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09"/>
    </row>
    <row r="73" spans="3:17" s="62" customFormat="1" x14ac:dyDescent="0.2"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09"/>
    </row>
    <row r="74" spans="3:17" s="62" customFormat="1" x14ac:dyDescent="0.2"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09"/>
    </row>
  </sheetData>
  <mergeCells count="12">
    <mergeCell ref="Q3:Q5"/>
    <mergeCell ref="A1:P1"/>
    <mergeCell ref="A3:A5"/>
    <mergeCell ref="B3:B5"/>
    <mergeCell ref="E3:P3"/>
    <mergeCell ref="E4:F4"/>
    <mergeCell ref="G4:H4"/>
    <mergeCell ref="I4:J4"/>
    <mergeCell ref="K4:L4"/>
    <mergeCell ref="M4:N4"/>
    <mergeCell ref="O4:P4"/>
    <mergeCell ref="C3:D4"/>
  </mergeCells>
  <conditionalFormatting sqref="B6">
    <cfRule type="duplicateValues" dxfId="129" priority="6"/>
  </conditionalFormatting>
  <conditionalFormatting sqref="B22">
    <cfRule type="duplicateValues" dxfId="128" priority="7"/>
  </conditionalFormatting>
  <conditionalFormatting sqref="B33:B34 B26:B30">
    <cfRule type="duplicateValues" dxfId="127" priority="8"/>
  </conditionalFormatting>
  <conditionalFormatting sqref="B52">
    <cfRule type="duplicateValues" dxfId="126" priority="9"/>
  </conditionalFormatting>
  <conditionalFormatting sqref="B56">
    <cfRule type="duplicateValues" dxfId="125" priority="10"/>
  </conditionalFormatting>
  <conditionalFormatting sqref="B58">
    <cfRule type="duplicateValues" dxfId="124" priority="11"/>
  </conditionalFormatting>
  <conditionalFormatting sqref="Q1:Q1048576">
    <cfRule type="cellIs" dxfId="123" priority="5" stopIfTrue="1" operator="greaterThan">
      <formula>100</formula>
    </cfRule>
  </conditionalFormatting>
  <pageMargins left="0.5" right="0.2" top="0.25" bottom="0.25" header="0.05" footer="0.05"/>
  <pageSetup scale="6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69"/>
  <sheetViews>
    <sheetView view="pageBreakPreview" zoomScale="60" zoomScaleNormal="100" workbookViewId="0">
      <pane xSplit="2" ySplit="5" topLeftCell="C39" activePane="bottomRight" state="frozen"/>
      <selection pane="topRight" activeCell="C1" sqref="C1"/>
      <selection pane="bottomLeft" activeCell="A7" sqref="A7"/>
      <selection pane="bottomRight" activeCell="Y63" sqref="Y63"/>
    </sheetView>
  </sheetViews>
  <sheetFormatPr defaultColWidth="4.42578125" defaultRowHeight="13.5" x14ac:dyDescent="0.2"/>
  <cols>
    <col min="1" max="1" width="4.42578125" style="141"/>
    <col min="2" max="2" width="21.85546875" style="141" bestFit="1" customWidth="1"/>
    <col min="3" max="3" width="8" style="146" bestFit="1" customWidth="1"/>
    <col min="4" max="4" width="10.140625" style="146" bestFit="1" customWidth="1"/>
    <col min="5" max="5" width="8" style="146" bestFit="1" customWidth="1"/>
    <col min="6" max="6" width="8.140625" style="146" bestFit="1" customWidth="1"/>
    <col min="7" max="7" width="8.140625" style="148" customWidth="1"/>
    <col min="8" max="9" width="10.140625" style="146" bestFit="1" customWidth="1"/>
    <col min="10" max="10" width="8" style="146" bestFit="1" customWidth="1"/>
    <col min="11" max="11" width="8.140625" style="146" bestFit="1" customWidth="1"/>
    <col min="12" max="12" width="8.140625" style="148" customWidth="1"/>
    <col min="13" max="13" width="10.140625" style="146" bestFit="1" customWidth="1"/>
    <col min="14" max="14" width="10.42578125" style="146" bestFit="1" customWidth="1"/>
    <col min="15" max="16" width="10.140625" style="146" bestFit="1" customWidth="1"/>
    <col min="17" max="17" width="8.42578125" style="148" customWidth="1"/>
    <col min="18" max="18" width="6" style="141" bestFit="1" customWidth="1"/>
    <col min="19" max="19" width="4.42578125" style="141"/>
    <col min="20" max="20" width="8.5703125" style="141" customWidth="1"/>
    <col min="21" max="16384" width="4.42578125" style="141"/>
  </cols>
  <sheetData>
    <row r="1" spans="1:20" ht="18.75" x14ac:dyDescent="0.2">
      <c r="A1" s="495" t="s">
        <v>377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20" x14ac:dyDescent="0.2">
      <c r="B2" s="143" t="s">
        <v>134</v>
      </c>
      <c r="C2" s="145"/>
      <c r="D2" s="145"/>
      <c r="N2" s="506" t="s">
        <v>271</v>
      </c>
      <c r="O2" s="506"/>
      <c r="P2" s="506"/>
    </row>
    <row r="3" spans="1:20" ht="35.1" customHeight="1" x14ac:dyDescent="0.2">
      <c r="A3" s="500" t="s">
        <v>120</v>
      </c>
      <c r="B3" s="500" t="s">
        <v>100</v>
      </c>
      <c r="C3" s="496" t="s">
        <v>34</v>
      </c>
      <c r="D3" s="496"/>
      <c r="E3" s="496"/>
      <c r="F3" s="496"/>
      <c r="G3" s="505" t="s">
        <v>158</v>
      </c>
      <c r="H3" s="496" t="s">
        <v>20</v>
      </c>
      <c r="I3" s="496"/>
      <c r="J3" s="496"/>
      <c r="K3" s="496"/>
      <c r="L3" s="505" t="s">
        <v>158</v>
      </c>
      <c r="M3" s="496" t="s">
        <v>19</v>
      </c>
      <c r="N3" s="496"/>
      <c r="O3" s="496"/>
      <c r="P3" s="496"/>
      <c r="Q3" s="505" t="s">
        <v>158</v>
      </c>
    </row>
    <row r="4" spans="1:20" ht="35.1" customHeight="1" x14ac:dyDescent="0.2">
      <c r="A4" s="500"/>
      <c r="B4" s="500"/>
      <c r="C4" s="496" t="s">
        <v>21</v>
      </c>
      <c r="D4" s="496"/>
      <c r="E4" s="496" t="s">
        <v>160</v>
      </c>
      <c r="F4" s="496"/>
      <c r="G4" s="505"/>
      <c r="H4" s="496" t="s">
        <v>21</v>
      </c>
      <c r="I4" s="496"/>
      <c r="J4" s="496" t="s">
        <v>160</v>
      </c>
      <c r="K4" s="496"/>
      <c r="L4" s="505"/>
      <c r="M4" s="496" t="s">
        <v>21</v>
      </c>
      <c r="N4" s="496"/>
      <c r="O4" s="496" t="s">
        <v>160</v>
      </c>
      <c r="P4" s="496"/>
      <c r="Q4" s="505"/>
    </row>
    <row r="5" spans="1:20" ht="35.1" customHeight="1" x14ac:dyDescent="0.2">
      <c r="A5" s="500"/>
      <c r="B5" s="500"/>
      <c r="C5" s="320" t="s">
        <v>124</v>
      </c>
      <c r="D5" s="320" t="s">
        <v>99</v>
      </c>
      <c r="E5" s="320" t="s">
        <v>124</v>
      </c>
      <c r="F5" s="320" t="s">
        <v>99</v>
      </c>
      <c r="G5" s="505"/>
      <c r="H5" s="320" t="s">
        <v>124</v>
      </c>
      <c r="I5" s="320" t="s">
        <v>99</v>
      </c>
      <c r="J5" s="320" t="s">
        <v>124</v>
      </c>
      <c r="K5" s="320" t="s">
        <v>99</v>
      </c>
      <c r="L5" s="505"/>
      <c r="M5" s="320" t="s">
        <v>124</v>
      </c>
      <c r="N5" s="320" t="s">
        <v>99</v>
      </c>
      <c r="O5" s="320" t="s">
        <v>124</v>
      </c>
      <c r="P5" s="320" t="s">
        <v>99</v>
      </c>
      <c r="Q5" s="505"/>
    </row>
    <row r="6" spans="1:20" x14ac:dyDescent="0.2">
      <c r="A6" s="131">
        <v>1</v>
      </c>
      <c r="B6" s="150" t="s">
        <v>55</v>
      </c>
      <c r="C6" s="151">
        <v>48</v>
      </c>
      <c r="D6" s="151">
        <v>1025</v>
      </c>
      <c r="E6" s="151">
        <v>0</v>
      </c>
      <c r="F6" s="151">
        <v>0</v>
      </c>
      <c r="G6" s="142">
        <f>F6*100/D6</f>
        <v>0</v>
      </c>
      <c r="H6" s="151">
        <v>1532</v>
      </c>
      <c r="I6" s="151">
        <v>6037</v>
      </c>
      <c r="J6" s="151">
        <v>714</v>
      </c>
      <c r="K6" s="151">
        <v>819</v>
      </c>
      <c r="L6" s="142">
        <f>K6*100/I6</f>
        <v>13.56634089779692</v>
      </c>
      <c r="M6" s="151">
        <v>6615</v>
      </c>
      <c r="N6" s="151">
        <v>22613</v>
      </c>
      <c r="O6" s="151">
        <v>6345</v>
      </c>
      <c r="P6" s="151">
        <v>18794</v>
      </c>
      <c r="Q6" s="142">
        <f>P6*100/N6</f>
        <v>83.111484544288686</v>
      </c>
      <c r="R6" s="146"/>
      <c r="T6" s="146"/>
    </row>
    <row r="7" spans="1:20" x14ac:dyDescent="0.2">
      <c r="A7" s="131">
        <v>2</v>
      </c>
      <c r="B7" s="150" t="s">
        <v>56</v>
      </c>
      <c r="C7" s="151">
        <v>0</v>
      </c>
      <c r="D7" s="151">
        <v>0</v>
      </c>
      <c r="E7" s="151">
        <v>1</v>
      </c>
      <c r="F7" s="151">
        <v>1500</v>
      </c>
      <c r="G7" s="142">
        <v>0</v>
      </c>
      <c r="H7" s="151">
        <v>208</v>
      </c>
      <c r="I7" s="151">
        <v>713</v>
      </c>
      <c r="J7" s="151">
        <v>27</v>
      </c>
      <c r="K7" s="151">
        <v>36.450000000000003</v>
      </c>
      <c r="L7" s="142">
        <f t="shared" ref="L7:L63" si="0">K7*100/I7</f>
        <v>5.1122019635343623</v>
      </c>
      <c r="M7" s="151">
        <v>656</v>
      </c>
      <c r="N7" s="151">
        <v>2869</v>
      </c>
      <c r="O7" s="151">
        <v>328</v>
      </c>
      <c r="P7" s="151">
        <v>1476.13</v>
      </c>
      <c r="Q7" s="142">
        <f t="shared" ref="Q7:Q63" si="1">P7*100/N7</f>
        <v>51.451028232833742</v>
      </c>
      <c r="R7" s="146"/>
      <c r="T7" s="146"/>
    </row>
    <row r="8" spans="1:20" x14ac:dyDescent="0.2">
      <c r="A8" s="131">
        <v>3</v>
      </c>
      <c r="B8" s="150" t="s">
        <v>57</v>
      </c>
      <c r="C8" s="151">
        <v>96</v>
      </c>
      <c r="D8" s="151">
        <v>5069</v>
      </c>
      <c r="E8" s="151">
        <v>1</v>
      </c>
      <c r="F8" s="151">
        <v>1</v>
      </c>
      <c r="G8" s="142">
        <f>F8*100/D8</f>
        <v>1.9727756954034326E-2</v>
      </c>
      <c r="H8" s="151">
        <v>1222</v>
      </c>
      <c r="I8" s="151">
        <v>4360</v>
      </c>
      <c r="J8" s="151">
        <v>357</v>
      </c>
      <c r="K8" s="307">
        <v>947</v>
      </c>
      <c r="L8" s="142">
        <f t="shared" si="0"/>
        <v>21.720183486238533</v>
      </c>
      <c r="M8" s="151">
        <v>5556</v>
      </c>
      <c r="N8" s="151">
        <v>19368</v>
      </c>
      <c r="O8" s="151">
        <v>2895</v>
      </c>
      <c r="P8" s="151">
        <v>7522</v>
      </c>
      <c r="Q8" s="142">
        <f t="shared" si="1"/>
        <v>38.837257331681123</v>
      </c>
      <c r="R8" s="146"/>
      <c r="T8" s="146"/>
    </row>
    <row r="9" spans="1:20" x14ac:dyDescent="0.2">
      <c r="A9" s="131">
        <v>4</v>
      </c>
      <c r="B9" s="150" t="s">
        <v>58</v>
      </c>
      <c r="C9" s="151">
        <v>174</v>
      </c>
      <c r="D9" s="151">
        <v>6133</v>
      </c>
      <c r="E9" s="151">
        <v>0</v>
      </c>
      <c r="F9" s="151">
        <v>0</v>
      </c>
      <c r="G9" s="142">
        <f>F9*100/D9</f>
        <v>0</v>
      </c>
      <c r="H9" s="151">
        <v>1940</v>
      </c>
      <c r="I9" s="151">
        <v>7375</v>
      </c>
      <c r="J9" s="151">
        <v>1847</v>
      </c>
      <c r="K9" s="151">
        <v>1298</v>
      </c>
      <c r="L9" s="142">
        <f t="shared" si="0"/>
        <v>17.600000000000001</v>
      </c>
      <c r="M9" s="151">
        <v>8333</v>
      </c>
      <c r="N9" s="151">
        <v>29816</v>
      </c>
      <c r="O9" s="151">
        <v>10996</v>
      </c>
      <c r="P9" s="151">
        <v>4667</v>
      </c>
      <c r="Q9" s="142">
        <f t="shared" si="1"/>
        <v>15.652669707539577</v>
      </c>
      <c r="R9" s="146"/>
      <c r="T9" s="146"/>
    </row>
    <row r="10" spans="1:20" x14ac:dyDescent="0.2">
      <c r="A10" s="131">
        <v>5</v>
      </c>
      <c r="B10" s="150" t="s">
        <v>59</v>
      </c>
      <c r="C10" s="151">
        <v>0</v>
      </c>
      <c r="D10" s="151">
        <v>0</v>
      </c>
      <c r="E10" s="151">
        <v>0</v>
      </c>
      <c r="F10" s="151">
        <v>0</v>
      </c>
      <c r="G10" s="142">
        <v>0</v>
      </c>
      <c r="H10" s="151">
        <v>782</v>
      </c>
      <c r="I10" s="151">
        <v>2655</v>
      </c>
      <c r="J10" s="151">
        <v>1231</v>
      </c>
      <c r="K10" s="151">
        <v>2755.08</v>
      </c>
      <c r="L10" s="142">
        <f t="shared" si="0"/>
        <v>103.76949152542373</v>
      </c>
      <c r="M10" s="151">
        <v>4004</v>
      </c>
      <c r="N10" s="151">
        <v>10421</v>
      </c>
      <c r="O10" s="151">
        <v>18702</v>
      </c>
      <c r="P10" s="151">
        <v>36533.199999999997</v>
      </c>
      <c r="Q10" s="142">
        <f t="shared" si="1"/>
        <v>350.57288168122057</v>
      </c>
      <c r="R10" s="146"/>
      <c r="T10" s="146"/>
    </row>
    <row r="11" spans="1:20" x14ac:dyDescent="0.2">
      <c r="A11" s="131">
        <v>6</v>
      </c>
      <c r="B11" s="152" t="s">
        <v>242</v>
      </c>
      <c r="C11" s="151">
        <v>0</v>
      </c>
      <c r="D11" s="151">
        <v>0</v>
      </c>
      <c r="E11" s="151">
        <v>0</v>
      </c>
      <c r="F11" s="151">
        <v>0</v>
      </c>
      <c r="G11" s="142">
        <v>0</v>
      </c>
      <c r="H11" s="151">
        <v>14</v>
      </c>
      <c r="I11" s="151">
        <v>26</v>
      </c>
      <c r="J11" s="307">
        <v>0</v>
      </c>
      <c r="K11" s="151">
        <v>0</v>
      </c>
      <c r="L11" s="142">
        <f t="shared" si="0"/>
        <v>0</v>
      </c>
      <c r="M11" s="151">
        <v>145</v>
      </c>
      <c r="N11" s="151">
        <v>262</v>
      </c>
      <c r="O11" s="151">
        <v>0</v>
      </c>
      <c r="P11" s="151">
        <v>0</v>
      </c>
      <c r="Q11" s="142">
        <f t="shared" si="1"/>
        <v>0</v>
      </c>
      <c r="R11" s="146"/>
      <c r="T11" s="146"/>
    </row>
    <row r="12" spans="1:20" x14ac:dyDescent="0.2">
      <c r="A12" s="131">
        <v>7</v>
      </c>
      <c r="B12" s="150" t="s">
        <v>60</v>
      </c>
      <c r="C12" s="151">
        <v>24</v>
      </c>
      <c r="D12" s="151">
        <v>1654</v>
      </c>
      <c r="E12" s="151">
        <v>0</v>
      </c>
      <c r="F12" s="151">
        <v>0</v>
      </c>
      <c r="G12" s="142">
        <f>F12*100/D12</f>
        <v>0</v>
      </c>
      <c r="H12" s="151">
        <v>674</v>
      </c>
      <c r="I12" s="151">
        <v>2614</v>
      </c>
      <c r="J12" s="151">
        <v>487</v>
      </c>
      <c r="K12" s="151">
        <v>698</v>
      </c>
      <c r="L12" s="142">
        <f t="shared" si="0"/>
        <v>26.702371843917369</v>
      </c>
      <c r="M12" s="151">
        <v>2730</v>
      </c>
      <c r="N12" s="151">
        <v>11616</v>
      </c>
      <c r="O12" s="151">
        <v>1254</v>
      </c>
      <c r="P12" s="151">
        <v>3489</v>
      </c>
      <c r="Q12" s="142">
        <f t="shared" si="1"/>
        <v>30.03615702479339</v>
      </c>
      <c r="R12" s="146"/>
      <c r="T12" s="146"/>
    </row>
    <row r="13" spans="1:20" x14ac:dyDescent="0.2">
      <c r="A13" s="131">
        <v>8</v>
      </c>
      <c r="B13" s="150" t="s">
        <v>61</v>
      </c>
      <c r="C13" s="151">
        <v>145</v>
      </c>
      <c r="D13" s="151">
        <v>3256</v>
      </c>
      <c r="E13" s="151">
        <v>0</v>
      </c>
      <c r="F13" s="151">
        <v>0</v>
      </c>
      <c r="G13" s="142">
        <f>F13*100/D13</f>
        <v>0</v>
      </c>
      <c r="H13" s="151">
        <v>2716</v>
      </c>
      <c r="I13" s="151">
        <v>9983</v>
      </c>
      <c r="J13" s="151">
        <v>763</v>
      </c>
      <c r="K13" s="151">
        <v>3178</v>
      </c>
      <c r="L13" s="142">
        <f t="shared" si="0"/>
        <v>31.834118000601023</v>
      </c>
      <c r="M13" s="151">
        <v>10374</v>
      </c>
      <c r="N13" s="151">
        <v>35193</v>
      </c>
      <c r="O13" s="151">
        <v>5702</v>
      </c>
      <c r="P13" s="151">
        <v>12714</v>
      </c>
      <c r="Q13" s="142">
        <f t="shared" si="1"/>
        <v>36.126502429460402</v>
      </c>
      <c r="R13" s="146"/>
      <c r="T13" s="146"/>
    </row>
    <row r="14" spans="1:20" x14ac:dyDescent="0.2">
      <c r="A14" s="131">
        <v>9</v>
      </c>
      <c r="B14" s="150" t="s">
        <v>48</v>
      </c>
      <c r="C14" s="151">
        <v>18</v>
      </c>
      <c r="D14" s="151">
        <v>537</v>
      </c>
      <c r="E14" s="151">
        <v>0</v>
      </c>
      <c r="F14" s="151">
        <v>0</v>
      </c>
      <c r="G14" s="142">
        <f>F14*100/D14</f>
        <v>0</v>
      </c>
      <c r="H14" s="151">
        <v>370</v>
      </c>
      <c r="I14" s="151">
        <v>1220</v>
      </c>
      <c r="J14" s="307">
        <v>38</v>
      </c>
      <c r="K14" s="307">
        <v>524</v>
      </c>
      <c r="L14" s="142">
        <f t="shared" si="0"/>
        <v>42.950819672131146</v>
      </c>
      <c r="M14" s="151">
        <v>1288</v>
      </c>
      <c r="N14" s="151">
        <v>4842</v>
      </c>
      <c r="O14" s="151">
        <v>187</v>
      </c>
      <c r="P14" s="151">
        <v>2302</v>
      </c>
      <c r="Q14" s="142">
        <f t="shared" si="1"/>
        <v>47.542337876910366</v>
      </c>
      <c r="R14" s="146"/>
      <c r="T14" s="146"/>
    </row>
    <row r="15" spans="1:20" x14ac:dyDescent="0.2">
      <c r="A15" s="131">
        <v>10</v>
      </c>
      <c r="B15" s="150" t="s">
        <v>49</v>
      </c>
      <c r="C15" s="151">
        <v>0</v>
      </c>
      <c r="D15" s="151">
        <v>0</v>
      </c>
      <c r="E15" s="307">
        <v>7</v>
      </c>
      <c r="F15" s="307">
        <v>622</v>
      </c>
      <c r="G15" s="142">
        <v>0</v>
      </c>
      <c r="H15" s="151">
        <v>408</v>
      </c>
      <c r="I15" s="151">
        <v>1471</v>
      </c>
      <c r="J15" s="151">
        <v>60</v>
      </c>
      <c r="K15" s="151">
        <v>244</v>
      </c>
      <c r="L15" s="142">
        <f t="shared" si="0"/>
        <v>16.587355540448673</v>
      </c>
      <c r="M15" s="151">
        <v>1464</v>
      </c>
      <c r="N15" s="151">
        <v>5668</v>
      </c>
      <c r="O15" s="151">
        <v>205</v>
      </c>
      <c r="P15" s="151">
        <v>1713</v>
      </c>
      <c r="Q15" s="142">
        <f t="shared" si="1"/>
        <v>30.222300635144673</v>
      </c>
      <c r="R15" s="146"/>
      <c r="T15" s="146"/>
    </row>
    <row r="16" spans="1:20" x14ac:dyDescent="0.2">
      <c r="A16" s="131">
        <v>11</v>
      </c>
      <c r="B16" s="150" t="s">
        <v>81</v>
      </c>
      <c r="C16" s="151">
        <v>0</v>
      </c>
      <c r="D16" s="151">
        <v>0</v>
      </c>
      <c r="E16" s="151">
        <v>0</v>
      </c>
      <c r="F16" s="151">
        <v>0</v>
      </c>
      <c r="G16" s="142">
        <v>0</v>
      </c>
      <c r="H16" s="151">
        <v>280</v>
      </c>
      <c r="I16" s="151">
        <v>911</v>
      </c>
      <c r="J16" s="151">
        <v>536</v>
      </c>
      <c r="K16" s="151">
        <v>346</v>
      </c>
      <c r="L16" s="142">
        <f t="shared" si="0"/>
        <v>37.980241492864984</v>
      </c>
      <c r="M16" s="151">
        <v>924</v>
      </c>
      <c r="N16" s="151">
        <v>3652</v>
      </c>
      <c r="O16" s="151">
        <v>973</v>
      </c>
      <c r="P16" s="151">
        <v>5751</v>
      </c>
      <c r="Q16" s="142">
        <f t="shared" si="1"/>
        <v>157.47535596933187</v>
      </c>
      <c r="R16" s="146"/>
      <c r="T16" s="146"/>
    </row>
    <row r="17" spans="1:20" x14ac:dyDescent="0.2">
      <c r="A17" s="131">
        <v>12</v>
      </c>
      <c r="B17" s="150" t="s">
        <v>62</v>
      </c>
      <c r="C17" s="151">
        <v>0</v>
      </c>
      <c r="D17" s="151">
        <v>0</v>
      </c>
      <c r="E17" s="151">
        <v>0</v>
      </c>
      <c r="F17" s="151">
        <v>0</v>
      </c>
      <c r="G17" s="142">
        <v>0</v>
      </c>
      <c r="H17" s="151">
        <v>222</v>
      </c>
      <c r="I17" s="151">
        <v>841</v>
      </c>
      <c r="J17" s="151">
        <v>165</v>
      </c>
      <c r="K17" s="151">
        <v>423.86</v>
      </c>
      <c r="L17" s="142">
        <f t="shared" si="0"/>
        <v>50.399524375743162</v>
      </c>
      <c r="M17" s="151">
        <v>588</v>
      </c>
      <c r="N17" s="151">
        <v>2589</v>
      </c>
      <c r="O17" s="151">
        <v>503</v>
      </c>
      <c r="P17" s="151">
        <v>3097.42</v>
      </c>
      <c r="Q17" s="142">
        <f t="shared" si="1"/>
        <v>119.63769795287756</v>
      </c>
      <c r="R17" s="146"/>
      <c r="T17" s="146"/>
    </row>
    <row r="18" spans="1:20" x14ac:dyDescent="0.2">
      <c r="A18" s="131">
        <v>13</v>
      </c>
      <c r="B18" s="150" t="s">
        <v>63</v>
      </c>
      <c r="C18" s="151">
        <v>0</v>
      </c>
      <c r="D18" s="151">
        <v>0</v>
      </c>
      <c r="E18" s="151">
        <v>0</v>
      </c>
      <c r="F18" s="151">
        <v>0</v>
      </c>
      <c r="G18" s="142">
        <v>0</v>
      </c>
      <c r="H18" s="151">
        <v>246</v>
      </c>
      <c r="I18" s="151">
        <v>864</v>
      </c>
      <c r="J18" s="151">
        <v>25</v>
      </c>
      <c r="K18" s="151">
        <v>24.23</v>
      </c>
      <c r="L18" s="142">
        <f t="shared" si="0"/>
        <v>2.8043981481481484</v>
      </c>
      <c r="M18" s="151">
        <v>976</v>
      </c>
      <c r="N18" s="151">
        <v>3919</v>
      </c>
      <c r="O18" s="151">
        <v>326</v>
      </c>
      <c r="P18" s="151">
        <v>771</v>
      </c>
      <c r="Q18" s="142">
        <f t="shared" si="1"/>
        <v>19.673386067874457</v>
      </c>
      <c r="R18" s="146"/>
      <c r="T18" s="146"/>
    </row>
    <row r="19" spans="1:20" x14ac:dyDescent="0.2">
      <c r="A19" s="131">
        <v>14</v>
      </c>
      <c r="B19" s="102" t="s">
        <v>207</v>
      </c>
      <c r="C19" s="151">
        <v>24</v>
      </c>
      <c r="D19" s="151">
        <v>112</v>
      </c>
      <c r="E19" s="151">
        <v>1</v>
      </c>
      <c r="F19" s="151">
        <v>398</v>
      </c>
      <c r="G19" s="142">
        <f>F19*100/D19</f>
        <v>355.35714285714283</v>
      </c>
      <c r="H19" s="151">
        <v>1044</v>
      </c>
      <c r="I19" s="151">
        <v>3834</v>
      </c>
      <c r="J19" s="151">
        <v>466</v>
      </c>
      <c r="K19" s="151">
        <v>994.85</v>
      </c>
      <c r="L19" s="142">
        <f t="shared" si="0"/>
        <v>25.948095983307251</v>
      </c>
      <c r="M19" s="151">
        <v>3579</v>
      </c>
      <c r="N19" s="151">
        <v>14738</v>
      </c>
      <c r="O19" s="151">
        <v>1936</v>
      </c>
      <c r="P19" s="151">
        <v>5080.45</v>
      </c>
      <c r="Q19" s="142">
        <f t="shared" si="1"/>
        <v>34.471773646356361</v>
      </c>
      <c r="R19" s="146"/>
      <c r="T19" s="146"/>
    </row>
    <row r="20" spans="1:20" x14ac:dyDescent="0.2">
      <c r="A20" s="131">
        <v>15</v>
      </c>
      <c r="B20" s="150" t="s">
        <v>208</v>
      </c>
      <c r="C20" s="151">
        <v>0</v>
      </c>
      <c r="D20" s="151">
        <v>0</v>
      </c>
      <c r="E20" s="151">
        <v>0</v>
      </c>
      <c r="F20" s="151">
        <v>0</v>
      </c>
      <c r="G20" s="142">
        <v>0</v>
      </c>
      <c r="H20" s="151">
        <v>416</v>
      </c>
      <c r="I20" s="151">
        <v>1502</v>
      </c>
      <c r="J20" s="151">
        <v>7</v>
      </c>
      <c r="K20" s="151">
        <v>19.690000000000001</v>
      </c>
      <c r="L20" s="142">
        <f t="shared" si="0"/>
        <v>1.3109187749667113</v>
      </c>
      <c r="M20" s="151">
        <v>1180</v>
      </c>
      <c r="N20" s="151">
        <v>4913</v>
      </c>
      <c r="O20" s="151">
        <v>37</v>
      </c>
      <c r="P20" s="151">
        <v>351.19</v>
      </c>
      <c r="Q20" s="142">
        <f t="shared" si="1"/>
        <v>7.1481783024628536</v>
      </c>
      <c r="R20" s="146"/>
      <c r="T20" s="146"/>
    </row>
    <row r="21" spans="1:20" x14ac:dyDescent="0.2">
      <c r="A21" s="131">
        <v>16</v>
      </c>
      <c r="B21" s="150" t="s">
        <v>64</v>
      </c>
      <c r="C21" s="151">
        <v>111</v>
      </c>
      <c r="D21" s="151">
        <v>3089</v>
      </c>
      <c r="E21" s="151">
        <v>0</v>
      </c>
      <c r="F21" s="151">
        <v>0</v>
      </c>
      <c r="G21" s="142">
        <f>F21*100/D21</f>
        <v>0</v>
      </c>
      <c r="H21" s="151">
        <v>3332</v>
      </c>
      <c r="I21" s="151">
        <v>12393</v>
      </c>
      <c r="J21" s="151">
        <v>1736</v>
      </c>
      <c r="K21" s="151">
        <v>2494</v>
      </c>
      <c r="L21" s="142">
        <f t="shared" si="0"/>
        <v>20.124263697248448</v>
      </c>
      <c r="M21" s="151">
        <v>12873</v>
      </c>
      <c r="N21" s="151">
        <v>53805</v>
      </c>
      <c r="O21" s="151">
        <v>11588</v>
      </c>
      <c r="P21" s="151">
        <v>13466</v>
      </c>
      <c r="Q21" s="142">
        <f t="shared" si="1"/>
        <v>25.027413809125544</v>
      </c>
      <c r="R21" s="146"/>
      <c r="T21" s="146"/>
    </row>
    <row r="22" spans="1:20" x14ac:dyDescent="0.2">
      <c r="A22" s="131">
        <v>17</v>
      </c>
      <c r="B22" s="103" t="s">
        <v>69</v>
      </c>
      <c r="C22" s="151">
        <v>0</v>
      </c>
      <c r="D22" s="151">
        <v>0</v>
      </c>
      <c r="E22" s="151">
        <v>0</v>
      </c>
      <c r="F22" s="151">
        <v>0</v>
      </c>
      <c r="G22" s="142">
        <v>0</v>
      </c>
      <c r="H22" s="151">
        <v>92</v>
      </c>
      <c r="I22" s="151">
        <v>286</v>
      </c>
      <c r="J22" s="151">
        <v>0</v>
      </c>
      <c r="K22" s="151">
        <v>0</v>
      </c>
      <c r="L22" s="142">
        <f t="shared" si="0"/>
        <v>0</v>
      </c>
      <c r="M22" s="151">
        <v>326</v>
      </c>
      <c r="N22" s="151">
        <v>1487</v>
      </c>
      <c r="O22" s="151">
        <v>0</v>
      </c>
      <c r="P22" s="151">
        <v>0</v>
      </c>
      <c r="Q22" s="142">
        <f t="shared" si="1"/>
        <v>0</v>
      </c>
      <c r="R22" s="146"/>
      <c r="T22" s="146"/>
    </row>
    <row r="23" spans="1:20" x14ac:dyDescent="0.2">
      <c r="A23" s="131">
        <v>18</v>
      </c>
      <c r="B23" s="98" t="s">
        <v>209</v>
      </c>
      <c r="C23" s="151">
        <v>0</v>
      </c>
      <c r="D23" s="151">
        <v>0</v>
      </c>
      <c r="E23" s="151">
        <v>0</v>
      </c>
      <c r="F23" s="151">
        <v>0</v>
      </c>
      <c r="G23" s="142">
        <v>0</v>
      </c>
      <c r="H23" s="151">
        <v>47</v>
      </c>
      <c r="I23" s="151">
        <v>160</v>
      </c>
      <c r="J23" s="151">
        <v>1</v>
      </c>
      <c r="K23" s="151">
        <v>7.5</v>
      </c>
      <c r="L23" s="142">
        <f t="shared" si="0"/>
        <v>4.6875</v>
      </c>
      <c r="M23" s="151">
        <v>176</v>
      </c>
      <c r="N23" s="151">
        <v>817</v>
      </c>
      <c r="O23" s="151">
        <v>5</v>
      </c>
      <c r="P23" s="151">
        <v>105</v>
      </c>
      <c r="Q23" s="142">
        <f t="shared" si="1"/>
        <v>12.851897184822521</v>
      </c>
      <c r="R23" s="146"/>
      <c r="T23" s="146"/>
    </row>
    <row r="24" spans="1:20" x14ac:dyDescent="0.2">
      <c r="A24" s="131">
        <v>19</v>
      </c>
      <c r="B24" s="104" t="s">
        <v>210</v>
      </c>
      <c r="C24" s="151">
        <v>0</v>
      </c>
      <c r="D24" s="151">
        <v>0</v>
      </c>
      <c r="E24" s="151">
        <v>0</v>
      </c>
      <c r="F24" s="151">
        <v>0</v>
      </c>
      <c r="G24" s="142">
        <v>0</v>
      </c>
      <c r="H24" s="151">
        <v>80</v>
      </c>
      <c r="I24" s="151">
        <v>275</v>
      </c>
      <c r="J24" s="151">
        <v>0</v>
      </c>
      <c r="K24" s="151">
        <v>0</v>
      </c>
      <c r="L24" s="142">
        <f t="shared" si="0"/>
        <v>0</v>
      </c>
      <c r="M24" s="151">
        <v>438</v>
      </c>
      <c r="N24" s="151">
        <v>1921</v>
      </c>
      <c r="O24" s="151">
        <v>68</v>
      </c>
      <c r="P24" s="151">
        <v>603.35</v>
      </c>
      <c r="Q24" s="142">
        <f t="shared" si="1"/>
        <v>31.408120770432067</v>
      </c>
      <c r="R24" s="146"/>
      <c r="T24" s="146"/>
    </row>
    <row r="25" spans="1:20" x14ac:dyDescent="0.2">
      <c r="A25" s="131">
        <v>20</v>
      </c>
      <c r="B25" s="150" t="s">
        <v>211</v>
      </c>
      <c r="C25" s="151">
        <v>0</v>
      </c>
      <c r="D25" s="151">
        <v>0</v>
      </c>
      <c r="E25" s="151">
        <v>0</v>
      </c>
      <c r="F25" s="151">
        <v>0</v>
      </c>
      <c r="G25" s="142">
        <v>0</v>
      </c>
      <c r="H25" s="151">
        <v>74</v>
      </c>
      <c r="I25" s="151">
        <v>273</v>
      </c>
      <c r="J25" s="151">
        <v>5</v>
      </c>
      <c r="K25" s="151">
        <v>30</v>
      </c>
      <c r="L25" s="142">
        <f t="shared" si="0"/>
        <v>10.989010989010989</v>
      </c>
      <c r="M25" s="151">
        <v>266</v>
      </c>
      <c r="N25" s="151">
        <v>1213</v>
      </c>
      <c r="O25" s="151">
        <v>42</v>
      </c>
      <c r="P25" s="151">
        <v>612</v>
      </c>
      <c r="Q25" s="142">
        <f t="shared" si="1"/>
        <v>50.453421269579557</v>
      </c>
      <c r="R25" s="146"/>
      <c r="T25" s="146"/>
    </row>
    <row r="26" spans="1:20" x14ac:dyDescent="0.2">
      <c r="A26" s="131">
        <v>21</v>
      </c>
      <c r="B26" s="150" t="s">
        <v>212</v>
      </c>
      <c r="C26" s="151">
        <v>0</v>
      </c>
      <c r="D26" s="151">
        <v>0</v>
      </c>
      <c r="E26" s="151">
        <v>0</v>
      </c>
      <c r="F26" s="151">
        <v>0</v>
      </c>
      <c r="G26" s="142">
        <v>0</v>
      </c>
      <c r="H26" s="151">
        <v>152</v>
      </c>
      <c r="I26" s="151">
        <v>506</v>
      </c>
      <c r="J26" s="151">
        <v>0</v>
      </c>
      <c r="K26" s="151">
        <v>0</v>
      </c>
      <c r="L26" s="142">
        <f t="shared" si="0"/>
        <v>0</v>
      </c>
      <c r="M26" s="151">
        <v>600</v>
      </c>
      <c r="N26" s="151">
        <v>2359</v>
      </c>
      <c r="O26" s="151">
        <v>0</v>
      </c>
      <c r="P26" s="151">
        <v>0</v>
      </c>
      <c r="Q26" s="142">
        <f t="shared" si="1"/>
        <v>0</v>
      </c>
      <c r="R26" s="146"/>
      <c r="T26" s="146"/>
    </row>
    <row r="27" spans="1:20" s="143" customFormat="1" x14ac:dyDescent="0.2">
      <c r="A27" s="131">
        <v>22</v>
      </c>
      <c r="B27" s="150" t="s">
        <v>70</v>
      </c>
      <c r="C27" s="151">
        <v>232</v>
      </c>
      <c r="D27" s="151">
        <v>8775</v>
      </c>
      <c r="E27" s="151">
        <v>21</v>
      </c>
      <c r="F27" s="151">
        <v>10658</v>
      </c>
      <c r="G27" s="142">
        <f>F27*100/D27</f>
        <v>121.45868945868946</v>
      </c>
      <c r="H27" s="151">
        <v>12792</v>
      </c>
      <c r="I27" s="151">
        <v>45435</v>
      </c>
      <c r="J27" s="151">
        <v>6180</v>
      </c>
      <c r="K27" s="151">
        <v>6396</v>
      </c>
      <c r="L27" s="142">
        <f t="shared" si="0"/>
        <v>14.07725321888412</v>
      </c>
      <c r="M27" s="151">
        <v>48668</v>
      </c>
      <c r="N27" s="151">
        <v>194981</v>
      </c>
      <c r="O27" s="151">
        <v>60368</v>
      </c>
      <c r="P27" s="151">
        <v>106145</v>
      </c>
      <c r="Q27" s="142">
        <f t="shared" si="1"/>
        <v>54.438637610844133</v>
      </c>
      <c r="R27" s="146"/>
      <c r="S27" s="141"/>
      <c r="T27" s="146"/>
    </row>
    <row r="28" spans="1:20" x14ac:dyDescent="0.2">
      <c r="A28" s="131">
        <v>23</v>
      </c>
      <c r="B28" s="150" t="s">
        <v>65</v>
      </c>
      <c r="C28" s="151">
        <v>0</v>
      </c>
      <c r="D28" s="151">
        <v>0</v>
      </c>
      <c r="E28" s="151">
        <v>0</v>
      </c>
      <c r="F28" s="151">
        <v>0</v>
      </c>
      <c r="G28" s="142">
        <v>0</v>
      </c>
      <c r="H28" s="151">
        <v>485</v>
      </c>
      <c r="I28" s="151">
        <v>1723</v>
      </c>
      <c r="J28" s="151">
        <v>877</v>
      </c>
      <c r="K28" s="151">
        <v>1966</v>
      </c>
      <c r="L28" s="142">
        <f t="shared" si="0"/>
        <v>114.10330818340104</v>
      </c>
      <c r="M28" s="151">
        <v>1228</v>
      </c>
      <c r="N28" s="151">
        <v>6280</v>
      </c>
      <c r="O28" s="307">
        <v>7337</v>
      </c>
      <c r="P28" s="151">
        <v>16295</v>
      </c>
      <c r="Q28" s="142">
        <f t="shared" si="1"/>
        <v>259.47452229299364</v>
      </c>
      <c r="R28" s="146"/>
      <c r="T28" s="146"/>
    </row>
    <row r="29" spans="1:20" x14ac:dyDescent="0.2">
      <c r="A29" s="131">
        <v>24</v>
      </c>
      <c r="B29" s="150" t="s">
        <v>213</v>
      </c>
      <c r="C29" s="151">
        <v>101</v>
      </c>
      <c r="D29" s="151">
        <v>2600</v>
      </c>
      <c r="E29" s="151">
        <v>0</v>
      </c>
      <c r="F29" s="151">
        <v>0</v>
      </c>
      <c r="G29" s="142">
        <f>F29*100/D29</f>
        <v>0</v>
      </c>
      <c r="H29" s="151">
        <v>1008</v>
      </c>
      <c r="I29" s="151">
        <v>3443</v>
      </c>
      <c r="J29" s="151">
        <v>69</v>
      </c>
      <c r="K29" s="151">
        <v>231</v>
      </c>
      <c r="L29" s="142">
        <f t="shared" si="0"/>
        <v>6.7092651757188495</v>
      </c>
      <c r="M29" s="151">
        <v>3792</v>
      </c>
      <c r="N29" s="151">
        <v>15487</v>
      </c>
      <c r="O29" s="151">
        <v>259</v>
      </c>
      <c r="P29" s="151">
        <v>694</v>
      </c>
      <c r="Q29" s="142">
        <f t="shared" si="1"/>
        <v>4.4811777619939308</v>
      </c>
      <c r="R29" s="146"/>
      <c r="T29" s="146"/>
    </row>
    <row r="30" spans="1:20" x14ac:dyDescent="0.2">
      <c r="A30" s="131">
        <v>25</v>
      </c>
      <c r="B30" s="150" t="s">
        <v>66</v>
      </c>
      <c r="C30" s="151">
        <v>122</v>
      </c>
      <c r="D30" s="151">
        <v>3094</v>
      </c>
      <c r="E30" s="151">
        <v>0</v>
      </c>
      <c r="F30" s="151">
        <v>0</v>
      </c>
      <c r="G30" s="142">
        <f>F30*100/D30</f>
        <v>0</v>
      </c>
      <c r="H30" s="151">
        <v>1498</v>
      </c>
      <c r="I30" s="151">
        <v>5699</v>
      </c>
      <c r="J30" s="151">
        <v>1193</v>
      </c>
      <c r="K30" s="151">
        <v>1318</v>
      </c>
      <c r="L30" s="142">
        <f t="shared" si="0"/>
        <v>23.126864362168803</v>
      </c>
      <c r="M30" s="151">
        <v>8740</v>
      </c>
      <c r="N30" s="151">
        <v>24155</v>
      </c>
      <c r="O30" s="151">
        <v>12135</v>
      </c>
      <c r="P30" s="151">
        <v>8214</v>
      </c>
      <c r="Q30" s="142">
        <f t="shared" si="1"/>
        <v>34.005381908507559</v>
      </c>
      <c r="R30" s="146"/>
      <c r="T30" s="146"/>
    </row>
    <row r="31" spans="1:20" x14ac:dyDescent="0.2">
      <c r="A31" s="131">
        <v>26</v>
      </c>
      <c r="B31" s="152" t="s">
        <v>67</v>
      </c>
      <c r="C31" s="151">
        <v>0</v>
      </c>
      <c r="D31" s="151">
        <v>0</v>
      </c>
      <c r="E31" s="151">
        <v>0</v>
      </c>
      <c r="F31" s="151">
        <v>0</v>
      </c>
      <c r="G31" s="142">
        <v>0</v>
      </c>
      <c r="H31" s="151">
        <v>121</v>
      </c>
      <c r="I31" s="151">
        <v>424</v>
      </c>
      <c r="J31" s="151">
        <v>4</v>
      </c>
      <c r="K31" s="151">
        <v>17</v>
      </c>
      <c r="L31" s="142">
        <f t="shared" si="0"/>
        <v>4.0094339622641506</v>
      </c>
      <c r="M31" s="151">
        <v>304</v>
      </c>
      <c r="N31" s="151">
        <v>1688</v>
      </c>
      <c r="O31" s="151">
        <v>43</v>
      </c>
      <c r="P31" s="151">
        <v>465</v>
      </c>
      <c r="Q31" s="142">
        <f t="shared" si="1"/>
        <v>27.547393364928912</v>
      </c>
      <c r="R31" s="146"/>
      <c r="T31" s="146"/>
    </row>
    <row r="32" spans="1:20" x14ac:dyDescent="0.2">
      <c r="A32" s="131">
        <v>27</v>
      </c>
      <c r="B32" s="150" t="s">
        <v>50</v>
      </c>
      <c r="C32" s="151">
        <v>0</v>
      </c>
      <c r="D32" s="151">
        <v>0</v>
      </c>
      <c r="E32" s="151">
        <v>0</v>
      </c>
      <c r="F32" s="151">
        <v>0</v>
      </c>
      <c r="G32" s="142">
        <v>0</v>
      </c>
      <c r="H32" s="151">
        <v>199</v>
      </c>
      <c r="I32" s="151">
        <v>745</v>
      </c>
      <c r="J32" s="151">
        <v>78</v>
      </c>
      <c r="K32" s="151">
        <v>149</v>
      </c>
      <c r="L32" s="142">
        <f t="shared" si="0"/>
        <v>20</v>
      </c>
      <c r="M32" s="151">
        <v>744</v>
      </c>
      <c r="N32" s="151">
        <v>2912</v>
      </c>
      <c r="O32" s="151">
        <v>412</v>
      </c>
      <c r="P32" s="151">
        <v>4226</v>
      </c>
      <c r="Q32" s="142">
        <f t="shared" si="1"/>
        <v>145.12362637362637</v>
      </c>
      <c r="R32" s="146"/>
      <c r="T32" s="146"/>
    </row>
    <row r="33" spans="1:20" s="143" customFormat="1" x14ac:dyDescent="0.2">
      <c r="A33" s="319"/>
      <c r="B33" s="153" t="s">
        <v>214</v>
      </c>
      <c r="C33" s="154">
        <f>SUM(C6:C32)</f>
        <v>1095</v>
      </c>
      <c r="D33" s="154">
        <f t="shared" ref="D33:P33" si="2">SUM(D6:D32)</f>
        <v>35344</v>
      </c>
      <c r="E33" s="154">
        <f t="shared" si="2"/>
        <v>31</v>
      </c>
      <c r="F33" s="154">
        <f t="shared" si="2"/>
        <v>13179</v>
      </c>
      <c r="G33" s="133">
        <f>F33*100/D33</f>
        <v>37.287799909461292</v>
      </c>
      <c r="H33" s="154">
        <f t="shared" si="2"/>
        <v>31954</v>
      </c>
      <c r="I33" s="154">
        <f t="shared" si="2"/>
        <v>115768</v>
      </c>
      <c r="J33" s="154">
        <f t="shared" si="2"/>
        <v>16866</v>
      </c>
      <c r="K33" s="154">
        <f t="shared" si="2"/>
        <v>24916.66</v>
      </c>
      <c r="L33" s="133">
        <f t="shared" si="0"/>
        <v>21.522925160666158</v>
      </c>
      <c r="M33" s="154">
        <f t="shared" si="2"/>
        <v>126567</v>
      </c>
      <c r="N33" s="154">
        <f t="shared" si="2"/>
        <v>479584</v>
      </c>
      <c r="O33" s="154">
        <f t="shared" si="2"/>
        <v>142646</v>
      </c>
      <c r="P33" s="154">
        <f t="shared" si="2"/>
        <v>255086.74</v>
      </c>
      <c r="Q33" s="133">
        <f t="shared" si="1"/>
        <v>53.189168112364051</v>
      </c>
      <c r="R33" s="146"/>
      <c r="T33" s="146"/>
    </row>
    <row r="34" spans="1:20" s="143" customFormat="1" x14ac:dyDescent="0.2">
      <c r="A34" s="131">
        <v>28</v>
      </c>
      <c r="B34" s="150" t="s">
        <v>47</v>
      </c>
      <c r="C34" s="151">
        <v>85</v>
      </c>
      <c r="D34" s="151">
        <v>1149</v>
      </c>
      <c r="E34" s="151">
        <v>0</v>
      </c>
      <c r="F34" s="151">
        <v>0</v>
      </c>
      <c r="G34" s="142">
        <f>F34*100/D34</f>
        <v>0</v>
      </c>
      <c r="H34" s="151">
        <v>538</v>
      </c>
      <c r="I34" s="151">
        <v>1893</v>
      </c>
      <c r="J34" s="151">
        <v>303</v>
      </c>
      <c r="K34" s="151">
        <v>868.79</v>
      </c>
      <c r="L34" s="142">
        <f t="shared" si="0"/>
        <v>45.894875858425777</v>
      </c>
      <c r="M34" s="151">
        <v>2191</v>
      </c>
      <c r="N34" s="151">
        <v>9983</v>
      </c>
      <c r="O34" s="151">
        <v>1186</v>
      </c>
      <c r="P34" s="151">
        <v>7824</v>
      </c>
      <c r="Q34" s="142">
        <f t="shared" si="1"/>
        <v>78.373234498647705</v>
      </c>
      <c r="R34" s="146"/>
      <c r="S34" s="141"/>
      <c r="T34" s="146"/>
    </row>
    <row r="35" spans="1:20" x14ac:dyDescent="0.2">
      <c r="A35" s="131">
        <v>29</v>
      </c>
      <c r="B35" s="150" t="s">
        <v>215</v>
      </c>
      <c r="C35" s="151">
        <v>0</v>
      </c>
      <c r="D35" s="151">
        <v>0</v>
      </c>
      <c r="E35" s="151">
        <v>0</v>
      </c>
      <c r="F35" s="151">
        <v>0</v>
      </c>
      <c r="G35" s="142">
        <v>0</v>
      </c>
      <c r="H35" s="151">
        <v>4</v>
      </c>
      <c r="I35" s="151">
        <v>10</v>
      </c>
      <c r="J35" s="151">
        <v>0</v>
      </c>
      <c r="K35" s="151">
        <v>0</v>
      </c>
      <c r="L35" s="142">
        <f t="shared" si="0"/>
        <v>0</v>
      </c>
      <c r="M35" s="151">
        <v>28</v>
      </c>
      <c r="N35" s="151">
        <v>62</v>
      </c>
      <c r="O35" s="151">
        <v>0</v>
      </c>
      <c r="P35" s="151">
        <v>0</v>
      </c>
      <c r="Q35" s="142">
        <f t="shared" si="1"/>
        <v>0</v>
      </c>
      <c r="R35" s="146"/>
      <c r="T35" s="146"/>
    </row>
    <row r="36" spans="1:20" x14ac:dyDescent="0.2">
      <c r="A36" s="131">
        <v>30</v>
      </c>
      <c r="B36" s="132" t="s">
        <v>216</v>
      </c>
      <c r="C36" s="151">
        <v>0</v>
      </c>
      <c r="D36" s="151">
        <v>0</v>
      </c>
      <c r="E36" s="151">
        <v>0</v>
      </c>
      <c r="F36" s="151">
        <v>0</v>
      </c>
      <c r="G36" s="142">
        <v>0</v>
      </c>
      <c r="H36" s="151">
        <v>0</v>
      </c>
      <c r="I36" s="151">
        <v>0</v>
      </c>
      <c r="J36" s="151">
        <v>0</v>
      </c>
      <c r="K36" s="151">
        <v>0</v>
      </c>
      <c r="L36" s="142">
        <v>0</v>
      </c>
      <c r="M36" s="151">
        <v>0</v>
      </c>
      <c r="N36" s="151">
        <v>0</v>
      </c>
      <c r="O36" s="151">
        <v>0</v>
      </c>
      <c r="P36" s="151">
        <v>0</v>
      </c>
      <c r="Q36" s="142">
        <v>0</v>
      </c>
      <c r="R36" s="146"/>
      <c r="T36" s="146"/>
    </row>
    <row r="37" spans="1:20" x14ac:dyDescent="0.2">
      <c r="A37" s="131">
        <v>31</v>
      </c>
      <c r="B37" s="132" t="s">
        <v>78</v>
      </c>
      <c r="C37" s="151">
        <v>0</v>
      </c>
      <c r="D37" s="151">
        <v>0</v>
      </c>
      <c r="E37" s="151">
        <v>0</v>
      </c>
      <c r="F37" s="151">
        <v>0</v>
      </c>
      <c r="G37" s="142">
        <v>0</v>
      </c>
      <c r="H37" s="151">
        <v>0</v>
      </c>
      <c r="I37" s="151">
        <v>0</v>
      </c>
      <c r="J37" s="151">
        <v>0</v>
      </c>
      <c r="K37" s="151">
        <v>0</v>
      </c>
      <c r="L37" s="142">
        <v>0</v>
      </c>
      <c r="M37" s="151"/>
      <c r="N37" s="151">
        <v>0</v>
      </c>
      <c r="O37" s="151">
        <v>0</v>
      </c>
      <c r="P37" s="151">
        <v>0</v>
      </c>
      <c r="Q37" s="142">
        <v>0</v>
      </c>
      <c r="R37" s="146"/>
      <c r="T37" s="146"/>
    </row>
    <row r="38" spans="1:20" x14ac:dyDescent="0.2">
      <c r="A38" s="131">
        <v>32</v>
      </c>
      <c r="B38" s="150" t="s">
        <v>51</v>
      </c>
      <c r="C38" s="151">
        <v>0</v>
      </c>
      <c r="D38" s="151">
        <v>0</v>
      </c>
      <c r="E38" s="151">
        <v>0</v>
      </c>
      <c r="F38" s="151">
        <v>0</v>
      </c>
      <c r="G38" s="142">
        <v>0</v>
      </c>
      <c r="H38" s="151">
        <v>4</v>
      </c>
      <c r="I38" s="151">
        <v>8</v>
      </c>
      <c r="J38" s="151">
        <v>1</v>
      </c>
      <c r="K38" s="151">
        <v>1.61</v>
      </c>
      <c r="L38" s="142">
        <f t="shared" si="0"/>
        <v>20.125</v>
      </c>
      <c r="M38" s="151">
        <v>16</v>
      </c>
      <c r="N38" s="151">
        <v>75</v>
      </c>
      <c r="O38" s="151">
        <v>9</v>
      </c>
      <c r="P38" s="151">
        <v>136.68</v>
      </c>
      <c r="Q38" s="142">
        <f t="shared" si="1"/>
        <v>182.24</v>
      </c>
      <c r="R38" s="146"/>
      <c r="T38" s="146"/>
    </row>
    <row r="39" spans="1:20" x14ac:dyDescent="0.2">
      <c r="A39" s="131">
        <v>33</v>
      </c>
      <c r="B39" s="150" t="s">
        <v>217</v>
      </c>
      <c r="C39" s="151">
        <v>0</v>
      </c>
      <c r="D39" s="151">
        <v>0</v>
      </c>
      <c r="E39" s="151">
        <v>0</v>
      </c>
      <c r="F39" s="151">
        <v>0</v>
      </c>
      <c r="G39" s="142">
        <v>0</v>
      </c>
      <c r="H39" s="151">
        <v>8</v>
      </c>
      <c r="I39" s="151">
        <v>40</v>
      </c>
      <c r="J39" s="151">
        <v>0</v>
      </c>
      <c r="K39" s="151">
        <v>0</v>
      </c>
      <c r="L39" s="142">
        <f t="shared" si="0"/>
        <v>0</v>
      </c>
      <c r="M39" s="151">
        <v>10</v>
      </c>
      <c r="N39" s="151">
        <v>40</v>
      </c>
      <c r="O39" s="151">
        <v>0</v>
      </c>
      <c r="P39" s="151">
        <v>0</v>
      </c>
      <c r="Q39" s="142">
        <f t="shared" si="1"/>
        <v>0</v>
      </c>
      <c r="R39" s="146"/>
      <c r="T39" s="146"/>
    </row>
    <row r="40" spans="1:20" x14ac:dyDescent="0.2">
      <c r="A40" s="131">
        <v>34</v>
      </c>
      <c r="B40" s="150" t="s">
        <v>218</v>
      </c>
      <c r="C40" s="151">
        <v>0</v>
      </c>
      <c r="D40" s="151">
        <v>0</v>
      </c>
      <c r="E40" s="151">
        <v>0</v>
      </c>
      <c r="F40" s="151">
        <v>0</v>
      </c>
      <c r="G40" s="142">
        <v>0</v>
      </c>
      <c r="H40" s="151">
        <v>36</v>
      </c>
      <c r="I40" s="151">
        <v>135</v>
      </c>
      <c r="J40" s="151">
        <v>0</v>
      </c>
      <c r="K40" s="151">
        <v>0</v>
      </c>
      <c r="L40" s="142">
        <f t="shared" si="0"/>
        <v>0</v>
      </c>
      <c r="M40" s="151">
        <v>128</v>
      </c>
      <c r="N40" s="151">
        <v>568</v>
      </c>
      <c r="O40" s="151">
        <v>0</v>
      </c>
      <c r="P40" s="151">
        <v>0</v>
      </c>
      <c r="Q40" s="142">
        <f t="shared" si="1"/>
        <v>0</v>
      </c>
      <c r="R40" s="146"/>
      <c r="T40" s="146"/>
    </row>
    <row r="41" spans="1:20" x14ac:dyDescent="0.2">
      <c r="A41" s="131">
        <v>35</v>
      </c>
      <c r="B41" s="150" t="s">
        <v>219</v>
      </c>
      <c r="C41" s="151">
        <v>0</v>
      </c>
      <c r="D41" s="151">
        <v>0</v>
      </c>
      <c r="E41" s="151">
        <v>0</v>
      </c>
      <c r="F41" s="151">
        <v>0</v>
      </c>
      <c r="G41" s="142">
        <v>0</v>
      </c>
      <c r="H41" s="151">
        <v>74</v>
      </c>
      <c r="I41" s="151">
        <v>255</v>
      </c>
      <c r="J41" s="151">
        <v>5</v>
      </c>
      <c r="K41" s="151">
        <v>4.83</v>
      </c>
      <c r="L41" s="142">
        <f t="shared" si="0"/>
        <v>1.8941176470588235</v>
      </c>
      <c r="M41" s="151">
        <v>268</v>
      </c>
      <c r="N41" s="151">
        <v>1214</v>
      </c>
      <c r="O41" s="151">
        <v>24</v>
      </c>
      <c r="P41" s="151">
        <v>234.77</v>
      </c>
      <c r="Q41" s="142">
        <f t="shared" si="1"/>
        <v>19.33855024711697</v>
      </c>
      <c r="R41" s="146"/>
      <c r="T41" s="146"/>
    </row>
    <row r="42" spans="1:20" x14ac:dyDescent="0.2">
      <c r="A42" s="131">
        <v>36</v>
      </c>
      <c r="B42" s="150" t="s">
        <v>71</v>
      </c>
      <c r="C42" s="151">
        <v>87</v>
      </c>
      <c r="D42" s="151">
        <v>3019</v>
      </c>
      <c r="E42" s="151">
        <v>23</v>
      </c>
      <c r="F42" s="151">
        <v>6126</v>
      </c>
      <c r="G42" s="142">
        <f>F42*100/D42</f>
        <v>202.91487247432926</v>
      </c>
      <c r="H42" s="151">
        <v>1028</v>
      </c>
      <c r="I42" s="151">
        <v>3675</v>
      </c>
      <c r="J42" s="151">
        <v>325</v>
      </c>
      <c r="K42" s="151">
        <v>503</v>
      </c>
      <c r="L42" s="142">
        <f t="shared" si="0"/>
        <v>13.687074829931973</v>
      </c>
      <c r="M42" s="151">
        <v>4210</v>
      </c>
      <c r="N42" s="151">
        <v>18173</v>
      </c>
      <c r="O42" s="151">
        <v>950</v>
      </c>
      <c r="P42" s="151">
        <v>2264</v>
      </c>
      <c r="Q42" s="142">
        <f t="shared" si="1"/>
        <v>12.458042150442965</v>
      </c>
      <c r="R42" s="146"/>
      <c r="T42" s="146"/>
    </row>
    <row r="43" spans="1:20" x14ac:dyDescent="0.2">
      <c r="A43" s="131">
        <v>37</v>
      </c>
      <c r="B43" s="150" t="s">
        <v>72</v>
      </c>
      <c r="C43" s="151">
        <v>44</v>
      </c>
      <c r="D43" s="151">
        <v>2956</v>
      </c>
      <c r="E43" s="151">
        <v>0</v>
      </c>
      <c r="F43" s="151">
        <v>0</v>
      </c>
      <c r="G43" s="142">
        <v>0</v>
      </c>
      <c r="H43" s="151">
        <v>1050</v>
      </c>
      <c r="I43" s="151">
        <v>3652</v>
      </c>
      <c r="J43" s="151">
        <v>19</v>
      </c>
      <c r="K43" s="151">
        <v>46</v>
      </c>
      <c r="L43" s="142">
        <f t="shared" si="0"/>
        <v>1.2595837897042717</v>
      </c>
      <c r="M43" s="151">
        <v>4348</v>
      </c>
      <c r="N43" s="151">
        <v>20226</v>
      </c>
      <c r="O43" s="151">
        <v>83</v>
      </c>
      <c r="P43" s="151">
        <v>1339</v>
      </c>
      <c r="Q43" s="142">
        <f t="shared" si="1"/>
        <v>6.6201918322950659</v>
      </c>
      <c r="R43" s="146"/>
      <c r="T43" s="146"/>
    </row>
    <row r="44" spans="1:20" x14ac:dyDescent="0.2">
      <c r="A44" s="131">
        <v>38</v>
      </c>
      <c r="B44" s="150" t="s">
        <v>220</v>
      </c>
      <c r="C44" s="151">
        <v>0</v>
      </c>
      <c r="D44" s="151">
        <v>0</v>
      </c>
      <c r="E44" s="151">
        <v>0</v>
      </c>
      <c r="F44" s="151">
        <v>0</v>
      </c>
      <c r="G44" s="142">
        <v>0</v>
      </c>
      <c r="H44" s="151"/>
      <c r="I44" s="151"/>
      <c r="J44" s="151">
        <v>0</v>
      </c>
      <c r="K44" s="151">
        <v>0</v>
      </c>
      <c r="L44" s="142">
        <v>0</v>
      </c>
      <c r="M44" s="151">
        <v>0</v>
      </c>
      <c r="N44" s="151">
        <v>0</v>
      </c>
      <c r="O44" s="151">
        <v>0</v>
      </c>
      <c r="P44" s="151">
        <v>0</v>
      </c>
      <c r="Q44" s="142">
        <v>0</v>
      </c>
      <c r="R44" s="146"/>
      <c r="T44" s="146"/>
    </row>
    <row r="45" spans="1:20" x14ac:dyDescent="0.2">
      <c r="A45" s="131">
        <v>39</v>
      </c>
      <c r="B45" s="150" t="s">
        <v>221</v>
      </c>
      <c r="C45" s="151">
        <v>0</v>
      </c>
      <c r="D45" s="151">
        <v>0</v>
      </c>
      <c r="E45" s="151">
        <v>0</v>
      </c>
      <c r="F45" s="151">
        <v>0</v>
      </c>
      <c r="G45" s="142">
        <v>0</v>
      </c>
      <c r="H45" s="151">
        <v>178</v>
      </c>
      <c r="I45" s="151">
        <v>650</v>
      </c>
      <c r="J45" s="151">
        <v>0</v>
      </c>
      <c r="K45" s="151">
        <v>0</v>
      </c>
      <c r="L45" s="142">
        <f t="shared" si="0"/>
        <v>0</v>
      </c>
      <c r="M45" s="151">
        <v>559</v>
      </c>
      <c r="N45" s="151">
        <v>2475</v>
      </c>
      <c r="O45" s="151">
        <v>0</v>
      </c>
      <c r="P45" s="151">
        <v>0</v>
      </c>
      <c r="Q45" s="142">
        <f t="shared" si="1"/>
        <v>0</v>
      </c>
      <c r="R45" s="146"/>
      <c r="T45" s="146"/>
    </row>
    <row r="46" spans="1:20" x14ac:dyDescent="0.2">
      <c r="A46" s="131">
        <v>40</v>
      </c>
      <c r="B46" s="150" t="s">
        <v>222</v>
      </c>
      <c r="C46" s="151">
        <v>0</v>
      </c>
      <c r="D46" s="151">
        <v>0</v>
      </c>
      <c r="E46" s="151">
        <v>0</v>
      </c>
      <c r="F46" s="151">
        <v>0</v>
      </c>
      <c r="G46" s="142">
        <v>0</v>
      </c>
      <c r="H46" s="151">
        <v>62</v>
      </c>
      <c r="I46" s="151">
        <v>224</v>
      </c>
      <c r="J46" s="151">
        <v>0</v>
      </c>
      <c r="K46" s="151">
        <v>0</v>
      </c>
      <c r="L46" s="142">
        <f t="shared" si="0"/>
        <v>0</v>
      </c>
      <c r="M46" s="151">
        <v>244</v>
      </c>
      <c r="N46" s="151">
        <v>1128</v>
      </c>
      <c r="O46" s="307">
        <v>0</v>
      </c>
      <c r="P46" s="307">
        <v>0</v>
      </c>
      <c r="Q46" s="142">
        <f t="shared" si="1"/>
        <v>0</v>
      </c>
      <c r="R46" s="146"/>
      <c r="T46" s="146"/>
    </row>
    <row r="47" spans="1:20" x14ac:dyDescent="0.2">
      <c r="A47" s="131">
        <v>41</v>
      </c>
      <c r="B47" s="150" t="s">
        <v>223</v>
      </c>
      <c r="C47" s="151">
        <v>0</v>
      </c>
      <c r="D47" s="151">
        <v>0</v>
      </c>
      <c r="E47" s="151">
        <v>0</v>
      </c>
      <c r="F47" s="151">
        <v>0</v>
      </c>
      <c r="G47" s="142">
        <v>0</v>
      </c>
      <c r="H47" s="151">
        <v>64</v>
      </c>
      <c r="I47" s="151">
        <v>238</v>
      </c>
      <c r="J47" s="151">
        <v>0</v>
      </c>
      <c r="K47" s="151">
        <v>0</v>
      </c>
      <c r="L47" s="142">
        <f t="shared" si="0"/>
        <v>0</v>
      </c>
      <c r="M47" s="151">
        <v>266</v>
      </c>
      <c r="N47" s="151">
        <v>1101</v>
      </c>
      <c r="O47" s="151">
        <v>31</v>
      </c>
      <c r="P47" s="151">
        <v>379.98</v>
      </c>
      <c r="Q47" s="142">
        <f t="shared" si="1"/>
        <v>34.51226158038147</v>
      </c>
      <c r="R47" s="146"/>
      <c r="T47" s="146"/>
    </row>
    <row r="48" spans="1:20" x14ac:dyDescent="0.2">
      <c r="A48" s="131">
        <v>42</v>
      </c>
      <c r="B48" s="150" t="s">
        <v>224</v>
      </c>
      <c r="C48" s="151">
        <v>0</v>
      </c>
      <c r="D48" s="151">
        <v>0</v>
      </c>
      <c r="E48" s="151">
        <v>0</v>
      </c>
      <c r="F48" s="151">
        <v>0</v>
      </c>
      <c r="G48" s="142">
        <v>0</v>
      </c>
      <c r="H48" s="151">
        <v>12</v>
      </c>
      <c r="I48" s="151">
        <v>33</v>
      </c>
      <c r="J48" s="151">
        <v>0</v>
      </c>
      <c r="K48" s="151">
        <v>0</v>
      </c>
      <c r="L48" s="142">
        <f t="shared" si="0"/>
        <v>0</v>
      </c>
      <c r="M48" s="151">
        <v>66</v>
      </c>
      <c r="N48" s="151">
        <v>323</v>
      </c>
      <c r="O48" s="307">
        <v>0</v>
      </c>
      <c r="P48" s="307">
        <v>0</v>
      </c>
      <c r="Q48" s="142">
        <f t="shared" si="1"/>
        <v>0</v>
      </c>
      <c r="R48" s="146"/>
      <c r="T48" s="146"/>
    </row>
    <row r="49" spans="1:20" x14ac:dyDescent="0.2">
      <c r="A49" s="131">
        <v>43</v>
      </c>
      <c r="B49" s="155" t="s">
        <v>73</v>
      </c>
      <c r="C49" s="151">
        <v>0</v>
      </c>
      <c r="D49" s="151">
        <v>0</v>
      </c>
      <c r="E49" s="151">
        <v>0</v>
      </c>
      <c r="F49" s="151">
        <v>0</v>
      </c>
      <c r="G49" s="142">
        <v>0</v>
      </c>
      <c r="H49" s="151">
        <v>86</v>
      </c>
      <c r="I49" s="151">
        <v>311</v>
      </c>
      <c r="J49" s="151">
        <v>0</v>
      </c>
      <c r="K49" s="151">
        <v>0</v>
      </c>
      <c r="L49" s="142">
        <f t="shared" si="0"/>
        <v>0</v>
      </c>
      <c r="M49" s="151">
        <v>308</v>
      </c>
      <c r="N49" s="151">
        <v>1476</v>
      </c>
      <c r="O49" s="151">
        <v>6</v>
      </c>
      <c r="P49" s="151">
        <v>522</v>
      </c>
      <c r="Q49" s="142">
        <f t="shared" si="1"/>
        <v>35.365853658536587</v>
      </c>
      <c r="R49" s="146"/>
      <c r="T49" s="146"/>
    </row>
    <row r="50" spans="1:20" x14ac:dyDescent="0.2">
      <c r="A50" s="131">
        <v>44</v>
      </c>
      <c r="B50" s="150" t="s">
        <v>225</v>
      </c>
      <c r="C50" s="151">
        <v>0</v>
      </c>
      <c r="D50" s="151">
        <v>0</v>
      </c>
      <c r="E50" s="151">
        <v>0</v>
      </c>
      <c r="F50" s="151">
        <v>0</v>
      </c>
      <c r="G50" s="142">
        <v>0</v>
      </c>
      <c r="H50" s="151">
        <v>4</v>
      </c>
      <c r="I50" s="151">
        <v>11</v>
      </c>
      <c r="J50" s="151">
        <v>0</v>
      </c>
      <c r="K50" s="151">
        <v>0</v>
      </c>
      <c r="L50" s="142">
        <f t="shared" si="0"/>
        <v>0</v>
      </c>
      <c r="M50" s="151">
        <v>22</v>
      </c>
      <c r="N50" s="151">
        <v>108</v>
      </c>
      <c r="O50" s="151">
        <v>9</v>
      </c>
      <c r="P50" s="151">
        <v>75</v>
      </c>
      <c r="Q50" s="142">
        <f t="shared" si="1"/>
        <v>69.444444444444443</v>
      </c>
      <c r="R50" s="146"/>
      <c r="T50" s="146"/>
    </row>
    <row r="51" spans="1:20" x14ac:dyDescent="0.2">
      <c r="A51" s="131">
        <v>45</v>
      </c>
      <c r="B51" s="150" t="s">
        <v>226</v>
      </c>
      <c r="C51" s="151">
        <v>0</v>
      </c>
      <c r="D51" s="151">
        <v>0</v>
      </c>
      <c r="E51" s="151">
        <v>0</v>
      </c>
      <c r="F51" s="151">
        <v>0</v>
      </c>
      <c r="G51" s="142">
        <v>0</v>
      </c>
      <c r="H51" s="151">
        <v>14</v>
      </c>
      <c r="I51" s="151">
        <v>69</v>
      </c>
      <c r="J51" s="151">
        <v>341</v>
      </c>
      <c r="K51" s="151">
        <v>78</v>
      </c>
      <c r="L51" s="142">
        <f t="shared" si="0"/>
        <v>113.04347826086956</v>
      </c>
      <c r="M51" s="151">
        <v>20</v>
      </c>
      <c r="N51" s="151">
        <v>81</v>
      </c>
      <c r="O51" s="151">
        <v>199</v>
      </c>
      <c r="P51" s="151">
        <v>59</v>
      </c>
      <c r="Q51" s="142">
        <f t="shared" si="1"/>
        <v>72.839506172839506</v>
      </c>
      <c r="R51" s="146"/>
      <c r="T51" s="146"/>
    </row>
    <row r="52" spans="1:20" s="143" customFormat="1" x14ac:dyDescent="0.2">
      <c r="A52" s="131">
        <v>46</v>
      </c>
      <c r="B52" s="150" t="s">
        <v>227</v>
      </c>
      <c r="C52" s="151">
        <v>0</v>
      </c>
      <c r="D52" s="151">
        <v>0</v>
      </c>
      <c r="E52" s="151">
        <v>0</v>
      </c>
      <c r="F52" s="151">
        <v>0</v>
      </c>
      <c r="G52" s="142">
        <v>0</v>
      </c>
      <c r="H52" s="151">
        <v>44</v>
      </c>
      <c r="I52" s="151">
        <v>149</v>
      </c>
      <c r="J52" s="151">
        <v>0</v>
      </c>
      <c r="K52" s="151">
        <v>0</v>
      </c>
      <c r="L52" s="142">
        <f t="shared" si="0"/>
        <v>0</v>
      </c>
      <c r="M52" s="151">
        <v>154</v>
      </c>
      <c r="N52" s="151">
        <v>706</v>
      </c>
      <c r="O52" s="151">
        <v>0</v>
      </c>
      <c r="P52" s="151">
        <v>0</v>
      </c>
      <c r="Q52" s="142">
        <f t="shared" si="1"/>
        <v>0</v>
      </c>
      <c r="R52" s="146"/>
      <c r="S52" s="141"/>
      <c r="T52" s="146"/>
    </row>
    <row r="53" spans="1:20" x14ac:dyDescent="0.2">
      <c r="A53" s="131">
        <v>47</v>
      </c>
      <c r="B53" s="150" t="s">
        <v>77</v>
      </c>
      <c r="C53" s="151">
        <v>0</v>
      </c>
      <c r="D53" s="151">
        <v>0</v>
      </c>
      <c r="E53" s="151">
        <v>0</v>
      </c>
      <c r="F53" s="151">
        <v>0</v>
      </c>
      <c r="G53" s="142">
        <v>0</v>
      </c>
      <c r="H53" s="151">
        <v>0</v>
      </c>
      <c r="I53" s="151">
        <v>0</v>
      </c>
      <c r="J53" s="151">
        <v>0</v>
      </c>
      <c r="K53" s="151">
        <v>0</v>
      </c>
      <c r="L53" s="142">
        <v>0</v>
      </c>
      <c r="M53" s="151">
        <v>0</v>
      </c>
      <c r="N53" s="151">
        <v>0</v>
      </c>
      <c r="O53" s="151">
        <v>0</v>
      </c>
      <c r="P53" s="151">
        <v>0</v>
      </c>
      <c r="Q53" s="142">
        <v>0</v>
      </c>
      <c r="R53" s="146"/>
      <c r="T53" s="146"/>
    </row>
    <row r="54" spans="1:20" x14ac:dyDescent="0.2">
      <c r="A54" s="131">
        <v>48</v>
      </c>
      <c r="B54" s="150" t="s">
        <v>228</v>
      </c>
      <c r="C54" s="151">
        <v>0</v>
      </c>
      <c r="D54" s="151">
        <v>0</v>
      </c>
      <c r="E54" s="151">
        <v>0</v>
      </c>
      <c r="F54" s="151">
        <v>0</v>
      </c>
      <c r="G54" s="142">
        <v>0</v>
      </c>
      <c r="H54" s="151">
        <v>0</v>
      </c>
      <c r="I54" s="151">
        <v>0</v>
      </c>
      <c r="J54" s="151">
        <v>0</v>
      </c>
      <c r="K54" s="151">
        <v>0</v>
      </c>
      <c r="L54" s="142">
        <v>0</v>
      </c>
      <c r="M54" s="151">
        <v>0</v>
      </c>
      <c r="N54" s="151">
        <v>0</v>
      </c>
      <c r="O54" s="151">
        <v>0</v>
      </c>
      <c r="P54" s="151">
        <v>0</v>
      </c>
      <c r="Q54" s="142">
        <v>0</v>
      </c>
      <c r="R54" s="146"/>
      <c r="T54" s="146"/>
    </row>
    <row r="55" spans="1:20" x14ac:dyDescent="0.2">
      <c r="A55" s="131">
        <v>49</v>
      </c>
      <c r="B55" s="150" t="s">
        <v>76</v>
      </c>
      <c r="C55" s="151">
        <v>0</v>
      </c>
      <c r="D55" s="151">
        <v>0</v>
      </c>
      <c r="E55" s="151">
        <v>0</v>
      </c>
      <c r="F55" s="151">
        <v>0</v>
      </c>
      <c r="G55" s="142">
        <v>0</v>
      </c>
      <c r="H55" s="151">
        <v>98</v>
      </c>
      <c r="I55" s="151">
        <v>391</v>
      </c>
      <c r="J55" s="151">
        <v>0</v>
      </c>
      <c r="K55" s="151">
        <v>0</v>
      </c>
      <c r="L55" s="142">
        <f t="shared" si="0"/>
        <v>0</v>
      </c>
      <c r="M55" s="151">
        <v>328</v>
      </c>
      <c r="N55" s="151">
        <v>1392</v>
      </c>
      <c r="O55" s="151">
        <v>51</v>
      </c>
      <c r="P55" s="151">
        <v>306</v>
      </c>
      <c r="Q55" s="142">
        <f t="shared" si="1"/>
        <v>21.982758620689655</v>
      </c>
      <c r="R55" s="146"/>
      <c r="T55" s="146"/>
    </row>
    <row r="56" spans="1:20" s="143" customFormat="1" x14ac:dyDescent="0.2">
      <c r="A56" s="319"/>
      <c r="B56" s="153" t="s">
        <v>289</v>
      </c>
      <c r="C56" s="154">
        <f>SUM(C34:C55)</f>
        <v>216</v>
      </c>
      <c r="D56" s="154">
        <f t="shared" ref="D56:P56" si="3">SUM(D34:D55)</f>
        <v>7124</v>
      </c>
      <c r="E56" s="154">
        <f t="shared" si="3"/>
        <v>23</v>
      </c>
      <c r="F56" s="154">
        <f t="shared" si="3"/>
        <v>6126</v>
      </c>
      <c r="G56" s="133">
        <f>F56*100/D56</f>
        <v>85.99101628298709</v>
      </c>
      <c r="H56" s="154">
        <f t="shared" si="3"/>
        <v>3304</v>
      </c>
      <c r="I56" s="154">
        <f t="shared" si="3"/>
        <v>11744</v>
      </c>
      <c r="J56" s="154">
        <f t="shared" si="3"/>
        <v>994</v>
      </c>
      <c r="K56" s="154">
        <f t="shared" si="3"/>
        <v>1502.23</v>
      </c>
      <c r="L56" s="133">
        <f t="shared" si="0"/>
        <v>12.791467983651225</v>
      </c>
      <c r="M56" s="154">
        <f t="shared" si="3"/>
        <v>13166</v>
      </c>
      <c r="N56" s="154">
        <f t="shared" si="3"/>
        <v>59131</v>
      </c>
      <c r="O56" s="154">
        <f t="shared" si="3"/>
        <v>2548</v>
      </c>
      <c r="P56" s="154">
        <f t="shared" si="3"/>
        <v>13140.43</v>
      </c>
      <c r="Q56" s="133">
        <f t="shared" si="1"/>
        <v>22.222573607752278</v>
      </c>
      <c r="R56" s="146"/>
      <c r="T56" s="146"/>
    </row>
    <row r="57" spans="1:20" x14ac:dyDescent="0.2">
      <c r="A57" s="131">
        <v>50</v>
      </c>
      <c r="B57" s="150" t="s">
        <v>46</v>
      </c>
      <c r="C57" s="151">
        <v>0</v>
      </c>
      <c r="D57" s="151">
        <v>0</v>
      </c>
      <c r="E57" s="151">
        <v>0</v>
      </c>
      <c r="F57" s="151">
        <v>0</v>
      </c>
      <c r="G57" s="142">
        <v>0</v>
      </c>
      <c r="H57" s="151">
        <v>941</v>
      </c>
      <c r="I57" s="151">
        <v>3306</v>
      </c>
      <c r="J57" s="151">
        <v>113</v>
      </c>
      <c r="K57" s="151">
        <v>280.72000000000003</v>
      </c>
      <c r="L57" s="142">
        <f t="shared" si="0"/>
        <v>8.4912280701754401</v>
      </c>
      <c r="M57" s="151">
        <v>5892</v>
      </c>
      <c r="N57" s="151">
        <v>11673</v>
      </c>
      <c r="O57" s="151">
        <v>11908</v>
      </c>
      <c r="P57" s="151">
        <v>8983.1200000000008</v>
      </c>
      <c r="Q57" s="142">
        <f t="shared" si="1"/>
        <v>76.956395099802975</v>
      </c>
      <c r="R57" s="146"/>
      <c r="T57" s="146"/>
    </row>
    <row r="58" spans="1:20" s="143" customFormat="1" x14ac:dyDescent="0.2">
      <c r="A58" s="131">
        <v>51</v>
      </c>
      <c r="B58" s="150" t="s">
        <v>229</v>
      </c>
      <c r="C58" s="151">
        <v>0</v>
      </c>
      <c r="D58" s="151">
        <v>0</v>
      </c>
      <c r="E58" s="151">
        <v>0</v>
      </c>
      <c r="F58" s="151">
        <v>0</v>
      </c>
      <c r="G58" s="142">
        <v>0</v>
      </c>
      <c r="H58" s="151">
        <v>904</v>
      </c>
      <c r="I58" s="151">
        <v>3171</v>
      </c>
      <c r="J58" s="151">
        <v>175</v>
      </c>
      <c r="K58" s="151">
        <v>106</v>
      </c>
      <c r="L58" s="142">
        <f t="shared" si="0"/>
        <v>3.3427940712708923</v>
      </c>
      <c r="M58" s="151">
        <v>5644</v>
      </c>
      <c r="N58" s="151">
        <v>10419</v>
      </c>
      <c r="O58" s="307">
        <v>20715</v>
      </c>
      <c r="P58" s="307">
        <v>7497</v>
      </c>
      <c r="Q58" s="142">
        <f t="shared" si="1"/>
        <v>71.955082061618199</v>
      </c>
      <c r="R58" s="146"/>
      <c r="S58" s="141"/>
      <c r="T58" s="146"/>
    </row>
    <row r="59" spans="1:20" s="143" customFormat="1" x14ac:dyDescent="0.2">
      <c r="A59" s="131">
        <v>52</v>
      </c>
      <c r="B59" s="150" t="s">
        <v>52</v>
      </c>
      <c r="C59" s="151">
        <v>0</v>
      </c>
      <c r="D59" s="151">
        <v>0</v>
      </c>
      <c r="E59" s="151">
        <v>0</v>
      </c>
      <c r="F59" s="151">
        <v>0</v>
      </c>
      <c r="G59" s="142">
        <v>0</v>
      </c>
      <c r="H59" s="151">
        <v>523</v>
      </c>
      <c r="I59" s="151">
        <v>2237</v>
      </c>
      <c r="J59" s="151">
        <v>177</v>
      </c>
      <c r="K59" s="151">
        <v>192.85</v>
      </c>
      <c r="L59" s="142">
        <f t="shared" si="0"/>
        <v>8.6209208761734466</v>
      </c>
      <c r="M59" s="151">
        <v>2762</v>
      </c>
      <c r="N59" s="151">
        <v>8851</v>
      </c>
      <c r="O59" s="151">
        <v>3392</v>
      </c>
      <c r="P59" s="151">
        <v>4495.62</v>
      </c>
      <c r="Q59" s="142">
        <f t="shared" si="1"/>
        <v>50.792226867020673</v>
      </c>
      <c r="R59" s="146"/>
      <c r="S59" s="141"/>
      <c r="T59" s="146"/>
    </row>
    <row r="60" spans="1:20" s="143" customFormat="1" x14ac:dyDescent="0.2">
      <c r="A60" s="319"/>
      <c r="B60" s="134" t="s">
        <v>295</v>
      </c>
      <c r="C60" s="154">
        <f>SUM(C57:C59)</f>
        <v>0</v>
      </c>
      <c r="D60" s="154">
        <f t="shared" ref="D60:P60" si="4">SUM(D57:D59)</f>
        <v>0</v>
      </c>
      <c r="E60" s="154">
        <f t="shared" si="4"/>
        <v>0</v>
      </c>
      <c r="F60" s="154">
        <f t="shared" si="4"/>
        <v>0</v>
      </c>
      <c r="G60" s="133">
        <v>0</v>
      </c>
      <c r="H60" s="154">
        <f t="shared" si="4"/>
        <v>2368</v>
      </c>
      <c r="I60" s="154">
        <f t="shared" si="4"/>
        <v>8714</v>
      </c>
      <c r="J60" s="154">
        <f t="shared" si="4"/>
        <v>465</v>
      </c>
      <c r="K60" s="154">
        <f t="shared" si="4"/>
        <v>579.57000000000005</v>
      </c>
      <c r="L60" s="133">
        <f t="shared" si="0"/>
        <v>6.6510213449621309</v>
      </c>
      <c r="M60" s="154">
        <f t="shared" si="4"/>
        <v>14298</v>
      </c>
      <c r="N60" s="154">
        <f t="shared" si="4"/>
        <v>30943</v>
      </c>
      <c r="O60" s="154">
        <f t="shared" si="4"/>
        <v>36015</v>
      </c>
      <c r="P60" s="154">
        <f t="shared" si="4"/>
        <v>20975.74</v>
      </c>
      <c r="Q60" s="133">
        <f t="shared" si="1"/>
        <v>67.788320460201021</v>
      </c>
      <c r="R60" s="146"/>
      <c r="T60" s="146"/>
    </row>
    <row r="61" spans="1:20" x14ac:dyDescent="0.2">
      <c r="A61" s="131">
        <v>53</v>
      </c>
      <c r="B61" s="132" t="s">
        <v>290</v>
      </c>
      <c r="C61" s="151">
        <v>0</v>
      </c>
      <c r="D61" s="151">
        <v>0</v>
      </c>
      <c r="E61" s="151">
        <v>0</v>
      </c>
      <c r="F61" s="151">
        <v>0</v>
      </c>
      <c r="G61" s="142">
        <v>0</v>
      </c>
      <c r="H61" s="151">
        <v>1311</v>
      </c>
      <c r="I61" s="151">
        <v>7259</v>
      </c>
      <c r="J61" s="151">
        <v>0</v>
      </c>
      <c r="K61" s="307">
        <v>0</v>
      </c>
      <c r="L61" s="142">
        <f t="shared" si="0"/>
        <v>0</v>
      </c>
      <c r="M61" s="151">
        <v>8490</v>
      </c>
      <c r="N61" s="151">
        <v>25152</v>
      </c>
      <c r="O61" s="151">
        <v>0</v>
      </c>
      <c r="P61" s="307">
        <v>0</v>
      </c>
      <c r="Q61" s="142">
        <f t="shared" si="1"/>
        <v>0</v>
      </c>
      <c r="R61" s="146"/>
      <c r="T61" s="146"/>
    </row>
    <row r="62" spans="1:20" s="143" customFormat="1" x14ac:dyDescent="0.2">
      <c r="A62" s="319"/>
      <c r="B62" s="134" t="s">
        <v>291</v>
      </c>
      <c r="C62" s="154">
        <f>C61</f>
        <v>0</v>
      </c>
      <c r="D62" s="154">
        <f t="shared" ref="D62:P62" si="5">D61</f>
        <v>0</v>
      </c>
      <c r="E62" s="154">
        <f t="shared" si="5"/>
        <v>0</v>
      </c>
      <c r="F62" s="154">
        <f t="shared" si="5"/>
        <v>0</v>
      </c>
      <c r="G62" s="133">
        <v>0</v>
      </c>
      <c r="H62" s="154">
        <f t="shared" si="5"/>
        <v>1311</v>
      </c>
      <c r="I62" s="154">
        <f t="shared" si="5"/>
        <v>7259</v>
      </c>
      <c r="J62" s="154">
        <f t="shared" si="5"/>
        <v>0</v>
      </c>
      <c r="K62" s="154">
        <f t="shared" si="5"/>
        <v>0</v>
      </c>
      <c r="L62" s="133">
        <f t="shared" si="0"/>
        <v>0</v>
      </c>
      <c r="M62" s="154">
        <f t="shared" si="5"/>
        <v>8490</v>
      </c>
      <c r="N62" s="154">
        <f t="shared" si="5"/>
        <v>25152</v>
      </c>
      <c r="O62" s="154">
        <f t="shared" si="5"/>
        <v>0</v>
      </c>
      <c r="P62" s="154">
        <f t="shared" si="5"/>
        <v>0</v>
      </c>
      <c r="Q62" s="133">
        <f t="shared" si="1"/>
        <v>0</v>
      </c>
      <c r="R62" s="146"/>
      <c r="T62" s="146"/>
    </row>
    <row r="63" spans="1:20" s="143" customFormat="1" x14ac:dyDescent="0.2">
      <c r="A63" s="319"/>
      <c r="B63" s="134" t="s">
        <v>292</v>
      </c>
      <c r="C63" s="154">
        <f>C62+C60+C56+C33</f>
        <v>1311</v>
      </c>
      <c r="D63" s="154">
        <f t="shared" ref="D63:P63" si="6">D62+D60+D56+D33</f>
        <v>42468</v>
      </c>
      <c r="E63" s="154">
        <f t="shared" si="6"/>
        <v>54</v>
      </c>
      <c r="F63" s="154">
        <f t="shared" si="6"/>
        <v>19305</v>
      </c>
      <c r="G63" s="133">
        <f>F63*100/D63</f>
        <v>45.457756428369599</v>
      </c>
      <c r="H63" s="154">
        <f t="shared" si="6"/>
        <v>38937</v>
      </c>
      <c r="I63" s="154">
        <f t="shared" si="6"/>
        <v>143485</v>
      </c>
      <c r="J63" s="154">
        <f t="shared" si="6"/>
        <v>18325</v>
      </c>
      <c r="K63" s="154">
        <f t="shared" si="6"/>
        <v>26998.46</v>
      </c>
      <c r="L63" s="133">
        <f t="shared" si="0"/>
        <v>18.816224692476567</v>
      </c>
      <c r="M63" s="154">
        <f t="shared" si="6"/>
        <v>162521</v>
      </c>
      <c r="N63" s="154">
        <f t="shared" si="6"/>
        <v>594810</v>
      </c>
      <c r="O63" s="154">
        <f t="shared" si="6"/>
        <v>181209</v>
      </c>
      <c r="P63" s="154">
        <f t="shared" si="6"/>
        <v>289202.90999999997</v>
      </c>
      <c r="Q63" s="133">
        <f t="shared" si="1"/>
        <v>48.62105714429817</v>
      </c>
      <c r="R63" s="146"/>
      <c r="T63" s="146"/>
    </row>
    <row r="64" spans="1:20" x14ac:dyDescent="0.2">
      <c r="A64" s="252"/>
    </row>
    <row r="69" spans="4:4" x14ac:dyDescent="0.2">
      <c r="D69" s="146" t="s">
        <v>1222</v>
      </c>
    </row>
  </sheetData>
  <mergeCells count="16">
    <mergeCell ref="Q3:Q5"/>
    <mergeCell ref="A1:Q1"/>
    <mergeCell ref="A3:A5"/>
    <mergeCell ref="B3:B5"/>
    <mergeCell ref="E4:F4"/>
    <mergeCell ref="J4:K4"/>
    <mergeCell ref="O4:P4"/>
    <mergeCell ref="G3:G5"/>
    <mergeCell ref="C3:F3"/>
    <mergeCell ref="C4:D4"/>
    <mergeCell ref="H3:K3"/>
    <mergeCell ref="N2:P2"/>
    <mergeCell ref="H4:I4"/>
    <mergeCell ref="M3:P3"/>
    <mergeCell ref="M4:N4"/>
    <mergeCell ref="L3:L5"/>
  </mergeCells>
  <conditionalFormatting sqref="B6">
    <cfRule type="duplicateValues" dxfId="122" priority="6"/>
  </conditionalFormatting>
  <conditionalFormatting sqref="B22">
    <cfRule type="duplicateValues" dxfId="121" priority="7"/>
  </conditionalFormatting>
  <conditionalFormatting sqref="B33:B34 B26:B30">
    <cfRule type="duplicateValues" dxfId="120" priority="8"/>
  </conditionalFormatting>
  <conditionalFormatting sqref="B52">
    <cfRule type="duplicateValues" dxfId="119" priority="9"/>
  </conditionalFormatting>
  <conditionalFormatting sqref="B56">
    <cfRule type="duplicateValues" dxfId="118" priority="10"/>
  </conditionalFormatting>
  <conditionalFormatting sqref="B58">
    <cfRule type="duplicateValues" dxfId="117" priority="11"/>
  </conditionalFormatting>
  <conditionalFormatting sqref="G1:G1048576">
    <cfRule type="cellIs" dxfId="116" priority="5" stopIfTrue="1" operator="greaterThan">
      <formula>100</formula>
    </cfRule>
  </conditionalFormatting>
  <conditionalFormatting sqref="L1:L1048576">
    <cfRule type="cellIs" dxfId="115" priority="4" stopIfTrue="1" operator="greaterThan">
      <formula>100</formula>
    </cfRule>
  </conditionalFormatting>
  <conditionalFormatting sqref="Q1:Q1048576">
    <cfRule type="cellIs" dxfId="114" priority="3" stopIfTrue="1" operator="greaterThan">
      <formula>100</formula>
    </cfRule>
  </conditionalFormatting>
  <conditionalFormatting sqref="T1:T1048576">
    <cfRule type="cellIs" dxfId="113" priority="2" operator="lessThan">
      <formula>0</formula>
    </cfRule>
  </conditionalFormatting>
  <pageMargins left="0.75" right="0.2" top="0.75" bottom="0.75" header="0.3" footer="0.3"/>
  <pageSetup scale="6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68"/>
  <sheetViews>
    <sheetView view="pageBreakPreview" zoomScale="60" zoomScaleNormal="100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L54" sqref="L54"/>
    </sheetView>
  </sheetViews>
  <sheetFormatPr defaultColWidth="4.42578125" defaultRowHeight="13.5" x14ac:dyDescent="0.2"/>
  <cols>
    <col min="1" max="1" width="4.42578125" style="62"/>
    <col min="2" max="2" width="21.85546875" style="62" bestFit="1" customWidth="1"/>
    <col min="3" max="4" width="10.140625" style="111" bestFit="1" customWidth="1"/>
    <col min="5" max="5" width="8" style="111" bestFit="1" customWidth="1"/>
    <col min="6" max="6" width="8.140625" style="111" customWidth="1"/>
    <col min="7" max="7" width="8.140625" style="109" customWidth="1"/>
    <col min="8" max="8" width="8" style="111" bestFit="1" customWidth="1"/>
    <col min="9" max="11" width="8.140625" style="111" customWidth="1"/>
    <col min="12" max="12" width="8.140625" style="109" customWidth="1"/>
    <col min="13" max="13" width="10.140625" style="111" bestFit="1" customWidth="1"/>
    <col min="14" max="14" width="8.140625" style="111" customWidth="1"/>
    <col min="15" max="15" width="11.28515625" style="111" bestFit="1" customWidth="1"/>
    <col min="16" max="16" width="12.5703125" style="111" bestFit="1" customWidth="1"/>
    <col min="17" max="17" width="11.5703125" style="112" bestFit="1" customWidth="1"/>
    <col min="18" max="18" width="11.28515625" style="112" bestFit="1" customWidth="1"/>
    <col min="19" max="19" width="8" style="109" customWidth="1"/>
    <col min="20" max="20" width="8" style="111" bestFit="1" customWidth="1"/>
    <col min="21" max="21" width="12" style="111" bestFit="1" customWidth="1"/>
    <col min="22" max="22" width="4.42578125" style="62"/>
    <col min="23" max="23" width="7" style="62" bestFit="1" customWidth="1"/>
    <col min="24" max="16384" width="4.42578125" style="62"/>
  </cols>
  <sheetData>
    <row r="1" spans="1:19" ht="18.75" x14ac:dyDescent="0.2">
      <c r="A1" s="477" t="s">
        <v>377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</row>
    <row r="2" spans="1:19" x14ac:dyDescent="0.2">
      <c r="B2" s="108" t="s">
        <v>134</v>
      </c>
      <c r="J2" s="111" t="s">
        <v>142</v>
      </c>
      <c r="N2" s="112" t="s">
        <v>166</v>
      </c>
      <c r="O2" s="112"/>
      <c r="P2" s="112"/>
    </row>
    <row r="3" spans="1:19" ht="35.1" customHeight="1" x14ac:dyDescent="0.2">
      <c r="A3" s="478" t="s">
        <v>120</v>
      </c>
      <c r="B3" s="478" t="s">
        <v>100</v>
      </c>
      <c r="C3" s="479" t="s">
        <v>35</v>
      </c>
      <c r="D3" s="479"/>
      <c r="E3" s="479"/>
      <c r="F3" s="479"/>
      <c r="G3" s="476" t="s">
        <v>158</v>
      </c>
      <c r="H3" s="479" t="s">
        <v>36</v>
      </c>
      <c r="I3" s="479"/>
      <c r="J3" s="479"/>
      <c r="K3" s="479"/>
      <c r="L3" s="476" t="s">
        <v>158</v>
      </c>
      <c r="M3" s="479" t="s">
        <v>53</v>
      </c>
      <c r="N3" s="479"/>
      <c r="O3" s="479" t="s">
        <v>54</v>
      </c>
      <c r="P3" s="479"/>
      <c r="Q3" s="479"/>
      <c r="R3" s="479"/>
      <c r="S3" s="476" t="s">
        <v>158</v>
      </c>
    </row>
    <row r="4" spans="1:19" ht="35.1" customHeight="1" x14ac:dyDescent="0.2">
      <c r="A4" s="478"/>
      <c r="B4" s="478"/>
      <c r="C4" s="479" t="s">
        <v>21</v>
      </c>
      <c r="D4" s="479"/>
      <c r="E4" s="479" t="s">
        <v>160</v>
      </c>
      <c r="F4" s="479"/>
      <c r="G4" s="476"/>
      <c r="H4" s="479" t="s">
        <v>21</v>
      </c>
      <c r="I4" s="479"/>
      <c r="J4" s="479" t="s">
        <v>160</v>
      </c>
      <c r="K4" s="479"/>
      <c r="L4" s="476"/>
      <c r="M4" s="479" t="s">
        <v>160</v>
      </c>
      <c r="N4" s="479"/>
      <c r="O4" s="479" t="s">
        <v>21</v>
      </c>
      <c r="P4" s="479"/>
      <c r="Q4" s="479" t="s">
        <v>160</v>
      </c>
      <c r="R4" s="479"/>
      <c r="S4" s="476"/>
    </row>
    <row r="5" spans="1:19" ht="35.1" customHeight="1" x14ac:dyDescent="0.2">
      <c r="A5" s="478"/>
      <c r="B5" s="478"/>
      <c r="C5" s="357" t="s">
        <v>124</v>
      </c>
      <c r="D5" s="357" t="s">
        <v>99</v>
      </c>
      <c r="E5" s="357" t="s">
        <v>124</v>
      </c>
      <c r="F5" s="357" t="s">
        <v>99</v>
      </c>
      <c r="G5" s="476"/>
      <c r="H5" s="357" t="s">
        <v>124</v>
      </c>
      <c r="I5" s="357" t="s">
        <v>99</v>
      </c>
      <c r="J5" s="357" t="s">
        <v>124</v>
      </c>
      <c r="K5" s="357" t="s">
        <v>99</v>
      </c>
      <c r="L5" s="476"/>
      <c r="M5" s="357" t="s">
        <v>124</v>
      </c>
      <c r="N5" s="357" t="s">
        <v>99</v>
      </c>
      <c r="O5" s="357" t="s">
        <v>124</v>
      </c>
      <c r="P5" s="357" t="s">
        <v>99</v>
      </c>
      <c r="Q5" s="357" t="s">
        <v>124</v>
      </c>
      <c r="R5" s="357" t="s">
        <v>99</v>
      </c>
      <c r="S5" s="476"/>
    </row>
    <row r="6" spans="1:19" x14ac:dyDescent="0.2">
      <c r="A6" s="57">
        <v>1</v>
      </c>
      <c r="B6" s="58" t="s">
        <v>55</v>
      </c>
      <c r="C6" s="99">
        <v>7516</v>
      </c>
      <c r="D6" s="99">
        <v>10181</v>
      </c>
      <c r="E6" s="99">
        <v>0</v>
      </c>
      <c r="F6" s="99">
        <v>0</v>
      </c>
      <c r="G6" s="100">
        <f>F6*100/D6</f>
        <v>0</v>
      </c>
      <c r="H6" s="99">
        <v>266</v>
      </c>
      <c r="I6" s="99">
        <v>1018</v>
      </c>
      <c r="J6" s="99">
        <v>0</v>
      </c>
      <c r="K6" s="99">
        <v>0</v>
      </c>
      <c r="L6" s="100">
        <f>K6*100/I6</f>
        <v>0</v>
      </c>
      <c r="M6" s="99">
        <v>758</v>
      </c>
      <c r="N6" s="99">
        <v>1224</v>
      </c>
      <c r="O6" s="99">
        <f>H6+C6+'ACP_PS_11(i)'!M6+'ACP_PS_11(i)'!H6+'ACP_PS_11(i)'!C6+ACP_MSME_10!C6+'ACP_Agri_9(ii)'!M6</f>
        <v>88570</v>
      </c>
      <c r="P6" s="99">
        <f>I6+D6+'ACP_PS_11(i)'!N6+'ACP_PS_11(i)'!I6+'ACP_PS_11(i)'!D6+ACP_MSME_10!D6+'ACP_Agri_9(ii)'!N6</f>
        <v>226643.06</v>
      </c>
      <c r="Q6" s="99">
        <f>M6+J6+E6+'ACP_PS_11(i)'!O6+'ACP_PS_11(i)'!J6+'ACP_PS_11(i)'!E6+ACP_MSME_10!O6+'ACP_Agri_9(ii)'!O6</f>
        <v>31652</v>
      </c>
      <c r="R6" s="99">
        <f>N6+K6+F6+'ACP_PS_11(i)'!P6+'ACP_PS_11(i)'!K6+'ACP_PS_11(i)'!F6+ACP_MSME_10!P6+'ACP_Agri_9(ii)'!P6</f>
        <v>136836</v>
      </c>
      <c r="S6" s="100">
        <f>R6*100/P6</f>
        <v>60.375111419692267</v>
      </c>
    </row>
    <row r="7" spans="1:19" x14ac:dyDescent="0.2">
      <c r="A7" s="57">
        <v>2</v>
      </c>
      <c r="B7" s="58" t="s">
        <v>56</v>
      </c>
      <c r="C7" s="99">
        <v>572</v>
      </c>
      <c r="D7" s="99">
        <v>915</v>
      </c>
      <c r="E7" s="99">
        <v>0</v>
      </c>
      <c r="F7" s="99">
        <v>0</v>
      </c>
      <c r="G7" s="100">
        <f>F7*100/D7</f>
        <v>0</v>
      </c>
      <c r="H7" s="99">
        <v>128</v>
      </c>
      <c r="I7" s="99">
        <v>129</v>
      </c>
      <c r="J7" s="99">
        <v>0</v>
      </c>
      <c r="K7" s="99">
        <v>0</v>
      </c>
      <c r="L7" s="100">
        <f t="shared" ref="L7:L63" si="0">K7*100/I7</f>
        <v>0</v>
      </c>
      <c r="M7" s="99">
        <v>0</v>
      </c>
      <c r="N7" s="99">
        <v>0</v>
      </c>
      <c r="O7" s="99">
        <f>H7+C7+'ACP_PS_11(i)'!M7+'ACP_PS_11(i)'!H7+'ACP_PS_11(i)'!C7+ACP_MSME_10!C7+'ACP_Agri_9(ii)'!M7</f>
        <v>3891</v>
      </c>
      <c r="P7" s="99">
        <f>I7+D7+'ACP_PS_11(i)'!N7+'ACP_PS_11(i)'!I7+'ACP_PS_11(i)'!D7+ACP_MSME_10!D7+'ACP_Agri_9(ii)'!N7</f>
        <v>13014.33</v>
      </c>
      <c r="Q7" s="99">
        <f>M7+J7+E7+'ACP_PS_11(i)'!O7+'ACP_PS_11(i)'!J7+'ACP_PS_11(i)'!E7+ACP_MSME_10!O7+'ACP_Agri_9(ii)'!O7</f>
        <v>1736</v>
      </c>
      <c r="R7" s="99">
        <f>N7+K7+F7+'ACP_PS_11(i)'!P7+'ACP_PS_11(i)'!K7+'ACP_PS_11(i)'!F7+ACP_MSME_10!P7+'ACP_Agri_9(ii)'!P7</f>
        <v>8528.23</v>
      </c>
      <c r="S7" s="100">
        <f t="shared" ref="S7:S63" si="1">R7*100/P7</f>
        <v>65.52953551969253</v>
      </c>
    </row>
    <row r="8" spans="1:19" x14ac:dyDescent="0.2">
      <c r="A8" s="57">
        <v>3</v>
      </c>
      <c r="B8" s="58" t="s">
        <v>57</v>
      </c>
      <c r="C8" s="99">
        <v>6078</v>
      </c>
      <c r="D8" s="99">
        <v>13058</v>
      </c>
      <c r="E8" s="99">
        <v>1</v>
      </c>
      <c r="F8" s="99">
        <v>1</v>
      </c>
      <c r="G8" s="100">
        <f>F8*100/D8</f>
        <v>7.6581406034614795E-3</v>
      </c>
      <c r="H8" s="99">
        <v>156</v>
      </c>
      <c r="I8" s="99">
        <v>872</v>
      </c>
      <c r="J8" s="99">
        <v>1</v>
      </c>
      <c r="K8" s="99">
        <v>1</v>
      </c>
      <c r="L8" s="100">
        <f t="shared" si="0"/>
        <v>0.11467889908256881</v>
      </c>
      <c r="M8" s="99">
        <v>596</v>
      </c>
      <c r="N8" s="99">
        <v>3752</v>
      </c>
      <c r="O8" s="99">
        <f>H8+C8+'ACP_PS_11(i)'!M8+'ACP_PS_11(i)'!H8+'ACP_PS_11(i)'!C8+ACP_MSME_10!C8+'ACP_Agri_9(ii)'!M8</f>
        <v>63054</v>
      </c>
      <c r="P8" s="99">
        <f>I8+D8+'ACP_PS_11(i)'!N8+'ACP_PS_11(i)'!I8+'ACP_PS_11(i)'!D8+ACP_MSME_10!D8+'ACP_Agri_9(ii)'!N8</f>
        <v>208823.53999999998</v>
      </c>
      <c r="Q8" s="99">
        <f>M8+J8+E8+'ACP_PS_11(i)'!O8+'ACP_PS_11(i)'!J8+'ACP_PS_11(i)'!E8+ACP_MSME_10!O8+'ACP_Agri_9(ii)'!O8</f>
        <v>37174</v>
      </c>
      <c r="R8" s="99">
        <f>N8+K8+F8+'ACP_PS_11(i)'!P8+'ACP_PS_11(i)'!K8+'ACP_PS_11(i)'!F8+ACP_MSME_10!P8+'ACP_Agri_9(ii)'!P8</f>
        <v>134106</v>
      </c>
      <c r="S8" s="100">
        <f t="shared" si="1"/>
        <v>64.219771391673575</v>
      </c>
    </row>
    <row r="9" spans="1:19" x14ac:dyDescent="0.2">
      <c r="A9" s="57">
        <v>4</v>
      </c>
      <c r="B9" s="58" t="s">
        <v>58</v>
      </c>
      <c r="C9" s="99">
        <v>7793</v>
      </c>
      <c r="D9" s="99">
        <v>15647</v>
      </c>
      <c r="E9" s="99">
        <v>0</v>
      </c>
      <c r="F9" s="99">
        <v>0</v>
      </c>
      <c r="G9" s="100">
        <f>F9*100/D9</f>
        <v>0</v>
      </c>
      <c r="H9" s="99">
        <v>284</v>
      </c>
      <c r="I9" s="99">
        <v>1342</v>
      </c>
      <c r="J9" s="99">
        <v>1</v>
      </c>
      <c r="K9" s="99">
        <v>5</v>
      </c>
      <c r="L9" s="100">
        <f t="shared" si="0"/>
        <v>0.37257824143070045</v>
      </c>
      <c r="M9" s="99">
        <v>195</v>
      </c>
      <c r="N9" s="99">
        <v>89</v>
      </c>
      <c r="O9" s="99">
        <f>H9+C9+'ACP_PS_11(i)'!M9+'ACP_PS_11(i)'!H9+'ACP_PS_11(i)'!C9+ACP_MSME_10!C9+'ACP_Agri_9(ii)'!M9</f>
        <v>215190</v>
      </c>
      <c r="P9" s="99">
        <f>I9+D9+'ACP_PS_11(i)'!N9+'ACP_PS_11(i)'!I9+'ACP_PS_11(i)'!D9+ACP_MSME_10!D9+'ACP_Agri_9(ii)'!N9</f>
        <v>890279.37</v>
      </c>
      <c r="Q9" s="99">
        <f>M9+J9+E9+'ACP_PS_11(i)'!O9+'ACP_PS_11(i)'!J9+'ACP_PS_11(i)'!E9+ACP_MSME_10!O9+'ACP_Agri_9(ii)'!O9</f>
        <v>407615</v>
      </c>
      <c r="R9" s="99">
        <f>N9+K9+F9+'ACP_PS_11(i)'!P9+'ACP_PS_11(i)'!K9+'ACP_PS_11(i)'!F9+ACP_MSME_10!P9+'ACP_Agri_9(ii)'!P9</f>
        <v>566822.5</v>
      </c>
      <c r="S9" s="100">
        <f t="shared" si="1"/>
        <v>63.667936054724038</v>
      </c>
    </row>
    <row r="10" spans="1:19" x14ac:dyDescent="0.2">
      <c r="A10" s="57">
        <v>5</v>
      </c>
      <c r="B10" s="58" t="s">
        <v>59</v>
      </c>
      <c r="C10" s="99">
        <v>7832</v>
      </c>
      <c r="D10" s="99">
        <v>12758</v>
      </c>
      <c r="E10" s="99">
        <v>9</v>
      </c>
      <c r="F10" s="99">
        <v>236.7</v>
      </c>
      <c r="G10" s="100">
        <f>F10*100/D10</f>
        <v>1.8553064743690233</v>
      </c>
      <c r="H10" s="99">
        <v>40</v>
      </c>
      <c r="I10" s="99">
        <v>469</v>
      </c>
      <c r="J10" s="99">
        <v>2</v>
      </c>
      <c r="K10" s="99">
        <v>375.23</v>
      </c>
      <c r="L10" s="100">
        <f t="shared" si="0"/>
        <v>80.00639658848614</v>
      </c>
      <c r="M10" s="99">
        <f>7677+33196</f>
        <v>40873</v>
      </c>
      <c r="N10" s="99">
        <f>23246.65+7479</f>
        <v>30725.65</v>
      </c>
      <c r="O10" s="99">
        <f>H10+C10+'ACP_PS_11(i)'!M10+'ACP_PS_11(i)'!H10+'ACP_PS_11(i)'!C10+ACP_MSME_10!C10+'ACP_Agri_9(ii)'!M10</f>
        <v>66071</v>
      </c>
      <c r="P10" s="99">
        <f>I10+D10+'ACP_PS_11(i)'!N10+'ACP_PS_11(i)'!I10+'ACP_PS_11(i)'!D10+ACP_MSME_10!D10+'ACP_Agri_9(ii)'!N10</f>
        <v>200091.74</v>
      </c>
      <c r="Q10" s="99">
        <f>M10+J10+E10+'ACP_PS_11(i)'!O10+'ACP_PS_11(i)'!J10+'ACP_PS_11(i)'!E10+ACP_MSME_10!O10+'ACP_Agri_9(ii)'!O10</f>
        <v>125757</v>
      </c>
      <c r="R10" s="99">
        <f>N10+K10+F10+'ACP_PS_11(i)'!P10+'ACP_PS_11(i)'!K10+'ACP_PS_11(i)'!F10+ACP_MSME_10!P10+'ACP_Agri_9(ii)'!P10</f>
        <v>231352.38</v>
      </c>
      <c r="S10" s="100">
        <f t="shared" si="1"/>
        <v>115.62315365941643</v>
      </c>
    </row>
    <row r="11" spans="1:19" x14ac:dyDescent="0.2">
      <c r="A11" s="57">
        <v>6</v>
      </c>
      <c r="B11" s="182" t="s">
        <v>242</v>
      </c>
      <c r="C11" s="99">
        <v>0</v>
      </c>
      <c r="D11" s="99">
        <v>0</v>
      </c>
      <c r="E11" s="99">
        <v>0</v>
      </c>
      <c r="F11" s="99">
        <v>0</v>
      </c>
      <c r="G11" s="100">
        <v>0</v>
      </c>
      <c r="H11" s="99">
        <v>0</v>
      </c>
      <c r="I11" s="99">
        <v>0</v>
      </c>
      <c r="J11" s="99">
        <v>0</v>
      </c>
      <c r="K11" s="99">
        <v>0</v>
      </c>
      <c r="L11" s="100">
        <v>0</v>
      </c>
      <c r="M11" s="99">
        <v>0</v>
      </c>
      <c r="N11" s="99">
        <v>0</v>
      </c>
      <c r="O11" s="99">
        <f>H11+C11+'ACP_PS_11(i)'!M11+'ACP_PS_11(i)'!H11+'ACP_PS_11(i)'!C11+ACP_MSME_10!C11+'ACP_Agri_9(ii)'!M11</f>
        <v>441</v>
      </c>
      <c r="P11" s="99">
        <f>I11+D11+'ACP_PS_11(i)'!N11+'ACP_PS_11(i)'!I11+'ACP_PS_11(i)'!D11+ACP_MSME_10!D11+'ACP_Agri_9(ii)'!N11</f>
        <v>1335</v>
      </c>
      <c r="Q11" s="99">
        <f>M11+J11+E11+'ACP_PS_11(i)'!O11+'ACP_PS_11(i)'!J11+'ACP_PS_11(i)'!E11+ACP_MSME_10!O11+'ACP_Agri_9(ii)'!O11</f>
        <v>1</v>
      </c>
      <c r="R11" s="99">
        <f>N11+K11+F11+'ACP_PS_11(i)'!P11+'ACP_PS_11(i)'!K11+'ACP_PS_11(i)'!F11+ACP_MSME_10!P11+'ACP_Agri_9(ii)'!P11</f>
        <v>0.72</v>
      </c>
      <c r="S11" s="100">
        <f t="shared" si="1"/>
        <v>5.3932584269662923E-2</v>
      </c>
    </row>
    <row r="12" spans="1:19" x14ac:dyDescent="0.2">
      <c r="A12" s="57">
        <v>7</v>
      </c>
      <c r="B12" s="58" t="s">
        <v>60</v>
      </c>
      <c r="C12" s="99">
        <v>3016</v>
      </c>
      <c r="D12" s="99">
        <v>5862</v>
      </c>
      <c r="E12" s="99">
        <v>0</v>
      </c>
      <c r="F12" s="99">
        <v>0</v>
      </c>
      <c r="G12" s="100">
        <f t="shared" ref="G12:G35" si="2">F12*100/D12</f>
        <v>0</v>
      </c>
      <c r="H12" s="99">
        <v>27</v>
      </c>
      <c r="I12" s="99">
        <v>523</v>
      </c>
      <c r="J12" s="99">
        <v>0</v>
      </c>
      <c r="K12" s="99">
        <v>0</v>
      </c>
      <c r="L12" s="100">
        <f t="shared" si="0"/>
        <v>0</v>
      </c>
      <c r="M12" s="99">
        <f>2478+327</f>
        <v>2805</v>
      </c>
      <c r="N12" s="99">
        <v>273</v>
      </c>
      <c r="O12" s="99">
        <f>H12+C12+'ACP_PS_11(i)'!M12+'ACP_PS_11(i)'!H12+'ACP_PS_11(i)'!C12+ACP_MSME_10!C12+'ACP_Agri_9(ii)'!M12</f>
        <v>34652</v>
      </c>
      <c r="P12" s="99">
        <f>I12+D12+'ACP_PS_11(i)'!N12+'ACP_PS_11(i)'!I12+'ACP_PS_11(i)'!D12+ACP_MSME_10!D12+'ACP_Agri_9(ii)'!N12</f>
        <v>103548.68</v>
      </c>
      <c r="Q12" s="99">
        <f>M12+J12+E12+'ACP_PS_11(i)'!O12+'ACP_PS_11(i)'!J12+'ACP_PS_11(i)'!E12+ACP_MSME_10!O12+'ACP_Agri_9(ii)'!O12</f>
        <v>27241</v>
      </c>
      <c r="R12" s="99">
        <f>N12+K12+F12+'ACP_PS_11(i)'!P12+'ACP_PS_11(i)'!K12+'ACP_PS_11(i)'!F12+ACP_MSME_10!P12+'ACP_Agri_9(ii)'!P12</f>
        <v>50500</v>
      </c>
      <c r="S12" s="100">
        <f t="shared" si="1"/>
        <v>48.769332453103218</v>
      </c>
    </row>
    <row r="13" spans="1:19" x14ac:dyDescent="0.2">
      <c r="A13" s="57">
        <v>8</v>
      </c>
      <c r="B13" s="58" t="s">
        <v>61</v>
      </c>
      <c r="C13" s="99">
        <v>21930</v>
      </c>
      <c r="D13" s="99">
        <v>39983</v>
      </c>
      <c r="E13" s="99">
        <v>1</v>
      </c>
      <c r="F13" s="99">
        <v>29.85</v>
      </c>
      <c r="G13" s="100">
        <f t="shared" si="2"/>
        <v>7.46567291098717E-2</v>
      </c>
      <c r="H13" s="99">
        <f>314+325</f>
        <v>639</v>
      </c>
      <c r="I13" s="99">
        <f>1205+1581</f>
        <v>2786</v>
      </c>
      <c r="J13" s="99">
        <v>1</v>
      </c>
      <c r="K13" s="99">
        <v>16.29</v>
      </c>
      <c r="L13" s="100">
        <f t="shared" si="0"/>
        <v>0.58470926058865758</v>
      </c>
      <c r="M13" s="99">
        <v>98</v>
      </c>
      <c r="N13" s="99">
        <v>1011</v>
      </c>
      <c r="O13" s="99">
        <f>H13+C13+'ACP_PS_11(i)'!M13+'ACP_PS_11(i)'!H13+'ACP_PS_11(i)'!C13+ACP_MSME_10!C13+'ACP_Agri_9(ii)'!M13</f>
        <v>263748</v>
      </c>
      <c r="P13" s="99">
        <f>I13+D13+'ACP_PS_11(i)'!N13+'ACP_PS_11(i)'!I13+'ACP_PS_11(i)'!D13+ACP_MSME_10!D13+'ACP_Agri_9(ii)'!N13</f>
        <v>786162.85</v>
      </c>
      <c r="Q13" s="99">
        <f>M13+J13+E13+'ACP_PS_11(i)'!O13+'ACP_PS_11(i)'!J13+'ACP_PS_11(i)'!E13+ACP_MSME_10!O13+'ACP_Agri_9(ii)'!O13</f>
        <v>118965</v>
      </c>
      <c r="R13" s="99">
        <f>N13+K13+F13+'ACP_PS_11(i)'!P13+'ACP_PS_11(i)'!K13+'ACP_PS_11(i)'!F13+ACP_MSME_10!P13+'ACP_Agri_9(ii)'!P13</f>
        <v>423904.14</v>
      </c>
      <c r="S13" s="100">
        <f t="shared" si="1"/>
        <v>53.920652699373932</v>
      </c>
    </row>
    <row r="14" spans="1:19" x14ac:dyDescent="0.2">
      <c r="A14" s="57">
        <v>9</v>
      </c>
      <c r="B14" s="58" t="s">
        <v>48</v>
      </c>
      <c r="C14" s="99">
        <v>1564</v>
      </c>
      <c r="D14" s="99">
        <v>2540</v>
      </c>
      <c r="E14" s="99">
        <v>0</v>
      </c>
      <c r="F14" s="99">
        <v>0</v>
      </c>
      <c r="G14" s="100">
        <f t="shared" si="2"/>
        <v>0</v>
      </c>
      <c r="H14" s="99">
        <v>114</v>
      </c>
      <c r="I14" s="99">
        <v>218</v>
      </c>
      <c r="J14" s="99">
        <v>0</v>
      </c>
      <c r="K14" s="99">
        <v>0</v>
      </c>
      <c r="L14" s="100">
        <f t="shared" si="0"/>
        <v>0</v>
      </c>
      <c r="M14" s="99">
        <f>387+8123</f>
        <v>8510</v>
      </c>
      <c r="N14" s="99">
        <v>2167</v>
      </c>
      <c r="O14" s="99">
        <f>H14+C14+'ACP_PS_11(i)'!M14+'ACP_PS_11(i)'!H14+'ACP_PS_11(i)'!C14+ACP_MSME_10!C14+'ACP_Agri_9(ii)'!M14</f>
        <v>9905</v>
      </c>
      <c r="P14" s="99">
        <f>I14+D14+'ACP_PS_11(i)'!N14+'ACP_PS_11(i)'!I14+'ACP_PS_11(i)'!D14+ACP_MSME_10!D14+'ACP_Agri_9(ii)'!N14</f>
        <v>32056.1</v>
      </c>
      <c r="Q14" s="99">
        <f>M14+J14+E14+'ACP_PS_11(i)'!O14+'ACP_PS_11(i)'!J14+'ACP_PS_11(i)'!E14+ACP_MSME_10!O14+'ACP_Agri_9(ii)'!O14</f>
        <v>14370</v>
      </c>
      <c r="R14" s="99">
        <f>N14+K14+F14+'ACP_PS_11(i)'!P14+'ACP_PS_11(i)'!K14+'ACP_PS_11(i)'!F14+ACP_MSME_10!P14+'ACP_Agri_9(ii)'!P14</f>
        <v>24358</v>
      </c>
      <c r="S14" s="100">
        <f t="shared" si="1"/>
        <v>75.985537853949793</v>
      </c>
    </row>
    <row r="15" spans="1:19" x14ac:dyDescent="0.2">
      <c r="A15" s="57">
        <v>10</v>
      </c>
      <c r="B15" s="58" t="s">
        <v>49</v>
      </c>
      <c r="C15" s="99">
        <v>1890</v>
      </c>
      <c r="D15" s="99">
        <v>4009</v>
      </c>
      <c r="E15" s="99">
        <v>0</v>
      </c>
      <c r="F15" s="99">
        <v>0</v>
      </c>
      <c r="G15" s="100">
        <f t="shared" si="2"/>
        <v>0</v>
      </c>
      <c r="H15" s="99">
        <v>115</v>
      </c>
      <c r="I15" s="99">
        <v>255</v>
      </c>
      <c r="J15" s="99">
        <v>0</v>
      </c>
      <c r="K15" s="99">
        <v>0</v>
      </c>
      <c r="L15" s="100">
        <f t="shared" si="0"/>
        <v>0</v>
      </c>
      <c r="M15" s="99">
        <v>13</v>
      </c>
      <c r="N15" s="99">
        <v>4</v>
      </c>
      <c r="O15" s="99">
        <f>H15+C15+'ACP_PS_11(i)'!M15+'ACP_PS_11(i)'!H15+'ACP_PS_11(i)'!C15+ACP_MSME_10!C15+'ACP_Agri_9(ii)'!M15</f>
        <v>20519</v>
      </c>
      <c r="P15" s="99">
        <f>I15+D15+'ACP_PS_11(i)'!N15+'ACP_PS_11(i)'!I15+'ACP_PS_11(i)'!D15+ACP_MSME_10!D15+'ACP_Agri_9(ii)'!N15</f>
        <v>72026.34</v>
      </c>
      <c r="Q15" s="99">
        <f>M15+J15+E15+'ACP_PS_11(i)'!O15+'ACP_PS_11(i)'!J15+'ACP_PS_11(i)'!E15+ACP_MSME_10!O15+'ACP_Agri_9(ii)'!O15</f>
        <v>4241</v>
      </c>
      <c r="R15" s="99">
        <f>N15+K15+F15+'ACP_PS_11(i)'!P15+'ACP_PS_11(i)'!K15+'ACP_PS_11(i)'!F15+ACP_MSME_10!P15+'ACP_Agri_9(ii)'!P15</f>
        <v>25016</v>
      </c>
      <c r="S15" s="100">
        <f t="shared" si="1"/>
        <v>34.731738416806962</v>
      </c>
    </row>
    <row r="16" spans="1:19" x14ac:dyDescent="0.2">
      <c r="A16" s="57">
        <v>11</v>
      </c>
      <c r="B16" s="58" t="s">
        <v>81</v>
      </c>
      <c r="C16" s="99">
        <v>1000</v>
      </c>
      <c r="D16" s="99">
        <v>1847</v>
      </c>
      <c r="E16" s="99">
        <v>5</v>
      </c>
      <c r="F16" s="99">
        <v>18</v>
      </c>
      <c r="G16" s="100">
        <f t="shared" si="2"/>
        <v>0.97455332972387654</v>
      </c>
      <c r="H16" s="99">
        <v>85</v>
      </c>
      <c r="I16" s="99">
        <v>164</v>
      </c>
      <c r="J16" s="99">
        <v>0</v>
      </c>
      <c r="K16" s="99">
        <v>0</v>
      </c>
      <c r="L16" s="100">
        <f t="shared" si="0"/>
        <v>0</v>
      </c>
      <c r="M16" s="99">
        <v>1</v>
      </c>
      <c r="N16" s="99">
        <v>2</v>
      </c>
      <c r="O16" s="99">
        <f>H16+C16+'ACP_PS_11(i)'!M16+'ACP_PS_11(i)'!H16+'ACP_PS_11(i)'!C16+ACP_MSME_10!C16+'ACP_Agri_9(ii)'!M16</f>
        <v>15704</v>
      </c>
      <c r="P16" s="99">
        <f>I16+D16+'ACP_PS_11(i)'!N16+'ACP_PS_11(i)'!I16+'ACP_PS_11(i)'!D16+ACP_MSME_10!D16+'ACP_Agri_9(ii)'!N16</f>
        <v>50785.94</v>
      </c>
      <c r="Q16" s="99">
        <f>M16+J16+E16+'ACP_PS_11(i)'!O16+'ACP_PS_11(i)'!J16+'ACP_PS_11(i)'!E16+ACP_MSME_10!O16+'ACP_Agri_9(ii)'!O16</f>
        <v>42997</v>
      </c>
      <c r="R16" s="99">
        <f>N16+K16+F16+'ACP_PS_11(i)'!P16+'ACP_PS_11(i)'!K16+'ACP_PS_11(i)'!F16+ACP_MSME_10!P16+'ACP_Agri_9(ii)'!P16</f>
        <v>128991</v>
      </c>
      <c r="S16" s="100">
        <f t="shared" si="1"/>
        <v>253.98958845696268</v>
      </c>
    </row>
    <row r="17" spans="1:21" x14ac:dyDescent="0.2">
      <c r="A17" s="57">
        <v>12</v>
      </c>
      <c r="B17" s="58" t="s">
        <v>62</v>
      </c>
      <c r="C17" s="99">
        <v>654</v>
      </c>
      <c r="D17" s="99">
        <v>1068</v>
      </c>
      <c r="E17" s="99">
        <v>0</v>
      </c>
      <c r="F17" s="99">
        <v>0</v>
      </c>
      <c r="G17" s="100">
        <f t="shared" si="2"/>
        <v>0</v>
      </c>
      <c r="H17" s="99">
        <v>86</v>
      </c>
      <c r="I17" s="99">
        <v>117</v>
      </c>
      <c r="J17" s="99">
        <v>0</v>
      </c>
      <c r="K17" s="99">
        <v>0</v>
      </c>
      <c r="L17" s="100">
        <f t="shared" si="0"/>
        <v>0</v>
      </c>
      <c r="M17" s="99">
        <v>13</v>
      </c>
      <c r="N17" s="99">
        <v>1.88</v>
      </c>
      <c r="O17" s="99">
        <f>H17+C17+'ACP_PS_11(i)'!M17+'ACP_PS_11(i)'!H17+'ACP_PS_11(i)'!C17+ACP_MSME_10!C17+'ACP_Agri_9(ii)'!M17</f>
        <v>6884</v>
      </c>
      <c r="P17" s="99">
        <f>I17+D17+'ACP_PS_11(i)'!N17+'ACP_PS_11(i)'!I17+'ACP_PS_11(i)'!D17+ACP_MSME_10!D17+'ACP_Agri_9(ii)'!N17</f>
        <v>23895.65</v>
      </c>
      <c r="Q17" s="99">
        <f>M17+J17+E17+'ACP_PS_11(i)'!O17+'ACP_PS_11(i)'!J17+'ACP_PS_11(i)'!E17+ACP_MSME_10!O17+'ACP_Agri_9(ii)'!O17</f>
        <v>5233</v>
      </c>
      <c r="R17" s="99">
        <f>N17+K17+F17+'ACP_PS_11(i)'!P17+'ACP_PS_11(i)'!K17+'ACP_PS_11(i)'!F17+ACP_MSME_10!P17+'ACP_Agri_9(ii)'!P17</f>
        <v>19881.16</v>
      </c>
      <c r="S17" s="100">
        <f t="shared" si="1"/>
        <v>83.199912954868353</v>
      </c>
    </row>
    <row r="18" spans="1:21" x14ac:dyDescent="0.2">
      <c r="A18" s="57">
        <v>13</v>
      </c>
      <c r="B18" s="58" t="s">
        <v>63</v>
      </c>
      <c r="C18" s="99">
        <v>1626</v>
      </c>
      <c r="D18" s="99">
        <v>2975</v>
      </c>
      <c r="E18" s="99">
        <v>0</v>
      </c>
      <c r="F18" s="99">
        <v>0</v>
      </c>
      <c r="G18" s="100">
        <f t="shared" si="2"/>
        <v>0</v>
      </c>
      <c r="H18" s="99">
        <v>75</v>
      </c>
      <c r="I18" s="99">
        <v>176</v>
      </c>
      <c r="J18" s="99">
        <v>0</v>
      </c>
      <c r="K18" s="99">
        <v>0</v>
      </c>
      <c r="L18" s="100">
        <f t="shared" si="0"/>
        <v>0</v>
      </c>
      <c r="M18" s="99">
        <v>677</v>
      </c>
      <c r="N18" s="99">
        <v>3597</v>
      </c>
      <c r="O18" s="99">
        <f>H18+C18+'ACP_PS_11(i)'!M18+'ACP_PS_11(i)'!H18+'ACP_PS_11(i)'!C18+ACP_MSME_10!C18+'ACP_Agri_9(ii)'!M18</f>
        <v>8866</v>
      </c>
      <c r="P18" s="99">
        <f>I18+D18+'ACP_PS_11(i)'!N18+'ACP_PS_11(i)'!I18+'ACP_PS_11(i)'!D18+ACP_MSME_10!D18+'ACP_Agri_9(ii)'!N18</f>
        <v>28005.43</v>
      </c>
      <c r="Q18" s="99">
        <f>M18+J18+E18+'ACP_PS_11(i)'!O18+'ACP_PS_11(i)'!J18+'ACP_PS_11(i)'!E18+ACP_MSME_10!O18+'ACP_Agri_9(ii)'!O18</f>
        <v>3856</v>
      </c>
      <c r="R18" s="99">
        <f>N18+K18+F18+'ACP_PS_11(i)'!P18+'ACP_PS_11(i)'!K18+'ACP_PS_11(i)'!F18+ACP_MSME_10!P18+'ACP_Agri_9(ii)'!P18</f>
        <v>16401.23</v>
      </c>
      <c r="S18" s="100">
        <f t="shared" si="1"/>
        <v>58.564464105710925</v>
      </c>
    </row>
    <row r="19" spans="1:21" x14ac:dyDescent="0.2">
      <c r="A19" s="57">
        <v>14</v>
      </c>
      <c r="B19" s="91" t="s">
        <v>207</v>
      </c>
      <c r="C19" s="99">
        <v>3880</v>
      </c>
      <c r="D19" s="99">
        <v>6793</v>
      </c>
      <c r="E19" s="99">
        <v>104</v>
      </c>
      <c r="F19" s="99">
        <v>266</v>
      </c>
      <c r="G19" s="100">
        <f t="shared" si="2"/>
        <v>3.9157956720153098</v>
      </c>
      <c r="H19" s="99">
        <v>66</v>
      </c>
      <c r="I19" s="99">
        <v>663</v>
      </c>
      <c r="J19" s="99">
        <v>0</v>
      </c>
      <c r="K19" s="99">
        <v>0</v>
      </c>
      <c r="L19" s="100">
        <f t="shared" si="0"/>
        <v>0</v>
      </c>
      <c r="M19" s="99">
        <v>37</v>
      </c>
      <c r="N19" s="99">
        <v>13.15</v>
      </c>
      <c r="O19" s="99">
        <f>H19+C19+'ACP_PS_11(i)'!M19+'ACP_PS_11(i)'!H19+'ACP_PS_11(i)'!C19+ACP_MSME_10!C19+'ACP_Agri_9(ii)'!M19</f>
        <v>27237</v>
      </c>
      <c r="P19" s="99">
        <f>I19+D19+'ACP_PS_11(i)'!N19+'ACP_PS_11(i)'!I19+'ACP_PS_11(i)'!D19+ACP_MSME_10!D19+'ACP_Agri_9(ii)'!N19</f>
        <v>89997.09</v>
      </c>
      <c r="Q19" s="99">
        <f>M19+J19+E19+'ACP_PS_11(i)'!O19+'ACP_PS_11(i)'!J19+'ACP_PS_11(i)'!E19+ACP_MSME_10!O19+'ACP_Agri_9(ii)'!O19</f>
        <v>9895</v>
      </c>
      <c r="R19" s="99">
        <f>N19+K19+F19+'ACP_PS_11(i)'!P19+'ACP_PS_11(i)'!K19+'ACP_PS_11(i)'!F19+ACP_MSME_10!P19+'ACP_Agri_9(ii)'!P19</f>
        <v>53309.350000000006</v>
      </c>
      <c r="S19" s="100">
        <f t="shared" si="1"/>
        <v>59.234526360796792</v>
      </c>
    </row>
    <row r="20" spans="1:21" x14ac:dyDescent="0.2">
      <c r="A20" s="57">
        <v>15</v>
      </c>
      <c r="B20" s="58" t="s">
        <v>208</v>
      </c>
      <c r="C20" s="99">
        <v>2482</v>
      </c>
      <c r="D20" s="99">
        <v>3988</v>
      </c>
      <c r="E20" s="99">
        <v>0</v>
      </c>
      <c r="F20" s="99">
        <v>0</v>
      </c>
      <c r="G20" s="100">
        <f t="shared" si="2"/>
        <v>0</v>
      </c>
      <c r="H20" s="99">
        <v>28</v>
      </c>
      <c r="I20" s="99">
        <v>221</v>
      </c>
      <c r="J20" s="99">
        <v>0</v>
      </c>
      <c r="K20" s="99">
        <v>0</v>
      </c>
      <c r="L20" s="100">
        <f t="shared" si="0"/>
        <v>0</v>
      </c>
      <c r="M20" s="99">
        <v>1031</v>
      </c>
      <c r="N20" s="99">
        <v>467</v>
      </c>
      <c r="O20" s="99">
        <f>H20+C20+'ACP_PS_11(i)'!M20+'ACP_PS_11(i)'!H20+'ACP_PS_11(i)'!C20+ACP_MSME_10!C20+'ACP_Agri_9(ii)'!M20</f>
        <v>12553</v>
      </c>
      <c r="P20" s="99">
        <f>I20+D20+'ACP_PS_11(i)'!N20+'ACP_PS_11(i)'!I20+'ACP_PS_11(i)'!D20+ACP_MSME_10!D20+'ACP_Agri_9(ii)'!N20</f>
        <v>40126.1</v>
      </c>
      <c r="Q20" s="99">
        <f>M20+J20+E20+'ACP_PS_11(i)'!O20+'ACP_PS_11(i)'!J20+'ACP_PS_11(i)'!E20+ACP_MSME_10!O20+'ACP_Agri_9(ii)'!O20</f>
        <v>1372</v>
      </c>
      <c r="R20" s="99">
        <f>N20+K20+F20+'ACP_PS_11(i)'!P20+'ACP_PS_11(i)'!K20+'ACP_PS_11(i)'!F20+ACP_MSME_10!P20+'ACP_Agri_9(ii)'!P20</f>
        <v>1792.1000000000001</v>
      </c>
      <c r="S20" s="100">
        <f t="shared" si="1"/>
        <v>4.4661703978208696</v>
      </c>
    </row>
    <row r="21" spans="1:21" x14ac:dyDescent="0.2">
      <c r="A21" s="57">
        <v>16</v>
      </c>
      <c r="B21" s="58" t="s">
        <v>64</v>
      </c>
      <c r="C21" s="99">
        <v>12110</v>
      </c>
      <c r="D21" s="99">
        <v>24489</v>
      </c>
      <c r="E21" s="99">
        <v>2</v>
      </c>
      <c r="F21" s="99">
        <v>15.8</v>
      </c>
      <c r="G21" s="100">
        <f t="shared" si="2"/>
        <v>6.4518763526481282E-2</v>
      </c>
      <c r="H21" s="99">
        <v>329</v>
      </c>
      <c r="I21" s="99">
        <v>2421</v>
      </c>
      <c r="J21" s="99">
        <v>0</v>
      </c>
      <c r="K21" s="99">
        <v>0</v>
      </c>
      <c r="L21" s="100">
        <f t="shared" si="0"/>
        <v>0</v>
      </c>
      <c r="M21" s="99">
        <v>656</v>
      </c>
      <c r="N21" s="99">
        <v>233</v>
      </c>
      <c r="O21" s="99">
        <f>H21+C21+'ACP_PS_11(i)'!M21+'ACP_PS_11(i)'!H21+'ACP_PS_11(i)'!C21+ACP_MSME_10!C21+'ACP_Agri_9(ii)'!M21</f>
        <v>139577</v>
      </c>
      <c r="P21" s="99">
        <f>I21+D21+'ACP_PS_11(i)'!N21+'ACP_PS_11(i)'!I21+'ACP_PS_11(i)'!D21+ACP_MSME_10!D21+'ACP_Agri_9(ii)'!N21</f>
        <v>490182.81</v>
      </c>
      <c r="Q21" s="99">
        <f>M21+J21+E21+'ACP_PS_11(i)'!O21+'ACP_PS_11(i)'!J21+'ACP_PS_11(i)'!E21+ACP_MSME_10!O21+'ACP_Agri_9(ii)'!O21</f>
        <v>125172</v>
      </c>
      <c r="R21" s="99">
        <f>N21+K21+F21+'ACP_PS_11(i)'!P21+'ACP_PS_11(i)'!K21+'ACP_PS_11(i)'!F21+ACP_MSME_10!P21+'ACP_Agri_9(ii)'!P21</f>
        <v>450693.8</v>
      </c>
      <c r="S21" s="100">
        <f t="shared" si="1"/>
        <v>91.944023904061424</v>
      </c>
    </row>
    <row r="22" spans="1:21" x14ac:dyDescent="0.2">
      <c r="A22" s="57">
        <v>17</v>
      </c>
      <c r="B22" s="91" t="s">
        <v>69</v>
      </c>
      <c r="C22" s="99">
        <v>708</v>
      </c>
      <c r="D22" s="99">
        <v>1554</v>
      </c>
      <c r="E22" s="99">
        <v>0</v>
      </c>
      <c r="F22" s="99">
        <v>0</v>
      </c>
      <c r="G22" s="100">
        <f t="shared" si="2"/>
        <v>0</v>
      </c>
      <c r="H22" s="99">
        <v>4</v>
      </c>
      <c r="I22" s="99">
        <v>67</v>
      </c>
      <c r="J22" s="99">
        <v>0</v>
      </c>
      <c r="K22" s="99">
        <v>0</v>
      </c>
      <c r="L22" s="100">
        <f t="shared" si="0"/>
        <v>0</v>
      </c>
      <c r="M22" s="99">
        <v>0</v>
      </c>
      <c r="N22" s="99">
        <v>0</v>
      </c>
      <c r="O22" s="99">
        <f>H22+C22+'ACP_PS_11(i)'!M22+'ACP_PS_11(i)'!H22+'ACP_PS_11(i)'!C22+ACP_MSME_10!C22+'ACP_Agri_9(ii)'!M22</f>
        <v>1524</v>
      </c>
      <c r="P22" s="99">
        <f>I22+D22+'ACP_PS_11(i)'!N22+'ACP_PS_11(i)'!I22+'ACP_PS_11(i)'!D22+ACP_MSME_10!D22+'ACP_Agri_9(ii)'!N22</f>
        <v>5393.17</v>
      </c>
      <c r="Q22" s="99">
        <f>M22+J22+E22+'ACP_PS_11(i)'!O22+'ACP_PS_11(i)'!J22+'ACP_PS_11(i)'!E22+ACP_MSME_10!O22+'ACP_Agri_9(ii)'!O22</f>
        <v>0</v>
      </c>
      <c r="R22" s="99">
        <f>N22+K22+F22+'ACP_PS_11(i)'!P22+'ACP_PS_11(i)'!K22+'ACP_PS_11(i)'!F22+ACP_MSME_10!P22+'ACP_Agri_9(ii)'!P22</f>
        <v>0</v>
      </c>
      <c r="S22" s="100">
        <f t="shared" si="1"/>
        <v>0</v>
      </c>
    </row>
    <row r="23" spans="1:21" x14ac:dyDescent="0.2">
      <c r="A23" s="57">
        <v>18</v>
      </c>
      <c r="B23" s="58" t="s">
        <v>209</v>
      </c>
      <c r="C23" s="99">
        <v>82</v>
      </c>
      <c r="D23" s="99">
        <v>223</v>
      </c>
      <c r="E23" s="99">
        <v>0</v>
      </c>
      <c r="F23" s="99">
        <v>0</v>
      </c>
      <c r="G23" s="100">
        <f t="shared" si="2"/>
        <v>0</v>
      </c>
      <c r="H23" s="99">
        <v>2</v>
      </c>
      <c r="I23" s="99">
        <v>37</v>
      </c>
      <c r="J23" s="99">
        <v>0</v>
      </c>
      <c r="K23" s="99">
        <v>0</v>
      </c>
      <c r="L23" s="100">
        <f t="shared" si="0"/>
        <v>0</v>
      </c>
      <c r="M23" s="99">
        <v>0</v>
      </c>
      <c r="N23" s="99">
        <v>0</v>
      </c>
      <c r="O23" s="99">
        <f>H23+C23+'ACP_PS_11(i)'!M23+'ACP_PS_11(i)'!H23+'ACP_PS_11(i)'!C23+ACP_MSME_10!C23+'ACP_Agri_9(ii)'!M23</f>
        <v>635</v>
      </c>
      <c r="P23" s="99">
        <f>I23+D23+'ACP_PS_11(i)'!N23+'ACP_PS_11(i)'!I23+'ACP_PS_11(i)'!D23+ACP_MSME_10!D23+'ACP_Agri_9(ii)'!N23</f>
        <v>2746.06</v>
      </c>
      <c r="Q23" s="99">
        <f>M23+J23+E23+'ACP_PS_11(i)'!O23+'ACP_PS_11(i)'!J23+'ACP_PS_11(i)'!E23+ACP_MSME_10!O23+'ACP_Agri_9(ii)'!O23</f>
        <v>24</v>
      </c>
      <c r="R23" s="99">
        <f>N23+K23+F23+'ACP_PS_11(i)'!P23+'ACP_PS_11(i)'!K23+'ACP_PS_11(i)'!F23+ACP_MSME_10!P23+'ACP_Agri_9(ii)'!P23</f>
        <v>142.29</v>
      </c>
      <c r="S23" s="100">
        <f t="shared" si="1"/>
        <v>5.1816056459072275</v>
      </c>
    </row>
    <row r="24" spans="1:21" x14ac:dyDescent="0.2">
      <c r="A24" s="57">
        <v>19</v>
      </c>
      <c r="B24" s="92" t="s">
        <v>210</v>
      </c>
      <c r="C24" s="99">
        <v>357</v>
      </c>
      <c r="D24" s="99">
        <v>557</v>
      </c>
      <c r="E24" s="99">
        <v>0</v>
      </c>
      <c r="F24" s="99">
        <v>0</v>
      </c>
      <c r="G24" s="100">
        <f t="shared" si="2"/>
        <v>0</v>
      </c>
      <c r="H24" s="99">
        <v>4</v>
      </c>
      <c r="I24" s="99">
        <v>86</v>
      </c>
      <c r="J24" s="99">
        <v>0</v>
      </c>
      <c r="K24" s="99">
        <v>0</v>
      </c>
      <c r="L24" s="100">
        <f t="shared" si="0"/>
        <v>0</v>
      </c>
      <c r="M24" s="99">
        <v>48</v>
      </c>
      <c r="N24" s="99">
        <v>361</v>
      </c>
      <c r="O24" s="99">
        <f>H24+C24+'ACP_PS_11(i)'!M24+'ACP_PS_11(i)'!H24+'ACP_PS_11(i)'!C24+ACP_MSME_10!C24+'ACP_Agri_9(ii)'!M24</f>
        <v>2112</v>
      </c>
      <c r="P24" s="99">
        <f>I24+D24+'ACP_PS_11(i)'!N24+'ACP_PS_11(i)'!I24+'ACP_PS_11(i)'!D24+ACP_MSME_10!D24+'ACP_Agri_9(ii)'!N24</f>
        <v>7616.35</v>
      </c>
      <c r="Q24" s="99">
        <f>M24+J24+E24+'ACP_PS_11(i)'!O24+'ACP_PS_11(i)'!J24+'ACP_PS_11(i)'!E24+ACP_MSME_10!O24+'ACP_Agri_9(ii)'!O24</f>
        <v>221</v>
      </c>
      <c r="R24" s="99">
        <f>N24+K24+F24+'ACP_PS_11(i)'!P24+'ACP_PS_11(i)'!K24+'ACP_PS_11(i)'!F24+ACP_MSME_10!P24+'ACP_Agri_9(ii)'!P24</f>
        <v>1715.25</v>
      </c>
      <c r="S24" s="100">
        <f t="shared" si="1"/>
        <v>22.520629960545403</v>
      </c>
    </row>
    <row r="25" spans="1:21" x14ac:dyDescent="0.2">
      <c r="A25" s="57">
        <v>20</v>
      </c>
      <c r="B25" s="58" t="s">
        <v>211</v>
      </c>
      <c r="C25" s="99">
        <v>111</v>
      </c>
      <c r="D25" s="99">
        <v>269</v>
      </c>
      <c r="E25" s="99">
        <v>0</v>
      </c>
      <c r="F25" s="99">
        <v>0</v>
      </c>
      <c r="G25" s="100">
        <f t="shared" si="2"/>
        <v>0</v>
      </c>
      <c r="H25" s="99">
        <v>3</v>
      </c>
      <c r="I25" s="99">
        <v>55</v>
      </c>
      <c r="J25" s="99">
        <v>0</v>
      </c>
      <c r="K25" s="99">
        <v>0</v>
      </c>
      <c r="L25" s="100">
        <f t="shared" si="0"/>
        <v>0</v>
      </c>
      <c r="M25" s="99">
        <v>0</v>
      </c>
      <c r="N25" s="99">
        <v>0</v>
      </c>
      <c r="O25" s="99">
        <f>H25+C25+'ACP_PS_11(i)'!M25+'ACP_PS_11(i)'!H25+'ACP_PS_11(i)'!C25+ACP_MSME_10!C25+'ACP_Agri_9(ii)'!M25</f>
        <v>3579</v>
      </c>
      <c r="P25" s="99">
        <f>I25+D25+'ACP_PS_11(i)'!N25+'ACP_PS_11(i)'!I25+'ACP_PS_11(i)'!D25+ACP_MSME_10!D25+'ACP_Agri_9(ii)'!N25</f>
        <v>18457.810000000001</v>
      </c>
      <c r="Q25" s="99">
        <f>M25+J25+E25+'ACP_PS_11(i)'!O25+'ACP_PS_11(i)'!J25+'ACP_PS_11(i)'!E25+ACP_MSME_10!O25+'ACP_Agri_9(ii)'!O25</f>
        <v>425</v>
      </c>
      <c r="R25" s="99">
        <f>N25+K25+F25+'ACP_PS_11(i)'!P25+'ACP_PS_11(i)'!K25+'ACP_PS_11(i)'!F25+ACP_MSME_10!P25+'ACP_Agri_9(ii)'!P25</f>
        <v>1297</v>
      </c>
      <c r="S25" s="100">
        <f t="shared" si="1"/>
        <v>7.0268357947123734</v>
      </c>
    </row>
    <row r="26" spans="1:21" x14ac:dyDescent="0.2">
      <c r="A26" s="57">
        <v>21</v>
      </c>
      <c r="B26" s="58" t="s">
        <v>212</v>
      </c>
      <c r="C26" s="99">
        <v>430</v>
      </c>
      <c r="D26" s="99">
        <v>778</v>
      </c>
      <c r="E26" s="99">
        <v>0</v>
      </c>
      <c r="F26" s="99">
        <v>0</v>
      </c>
      <c r="G26" s="100">
        <f t="shared" si="2"/>
        <v>0</v>
      </c>
      <c r="H26" s="99">
        <v>6</v>
      </c>
      <c r="I26" s="99">
        <v>106</v>
      </c>
      <c r="J26" s="99">
        <v>0</v>
      </c>
      <c r="K26" s="99">
        <v>0</v>
      </c>
      <c r="L26" s="100">
        <f t="shared" si="0"/>
        <v>0</v>
      </c>
      <c r="M26" s="99">
        <v>0</v>
      </c>
      <c r="N26" s="99">
        <v>0</v>
      </c>
      <c r="O26" s="99">
        <f>H26+C26+'ACP_PS_11(i)'!M26+'ACP_PS_11(i)'!H26+'ACP_PS_11(i)'!C26+ACP_MSME_10!C26+'ACP_Agri_9(ii)'!M26</f>
        <v>2950</v>
      </c>
      <c r="P26" s="99">
        <f>I26+D26+'ACP_PS_11(i)'!N26+'ACP_PS_11(i)'!I26+'ACP_PS_11(i)'!D26+ACP_MSME_10!D26+'ACP_Agri_9(ii)'!N26</f>
        <v>11189.9</v>
      </c>
      <c r="Q26" s="99">
        <f>M26+J26+E26+'ACP_PS_11(i)'!O26+'ACP_PS_11(i)'!J26+'ACP_PS_11(i)'!E26+ACP_MSME_10!O26+'ACP_Agri_9(ii)'!O26</f>
        <v>592</v>
      </c>
      <c r="R26" s="99">
        <f>N26+K26+F26+'ACP_PS_11(i)'!P26+'ACP_PS_11(i)'!K26+'ACP_PS_11(i)'!F26+ACP_MSME_10!P26+'ACP_Agri_9(ii)'!P26</f>
        <v>809</v>
      </c>
      <c r="S26" s="100">
        <f t="shared" si="1"/>
        <v>7.229733956514357</v>
      </c>
    </row>
    <row r="27" spans="1:21" s="108" customFormat="1" x14ac:dyDescent="0.2">
      <c r="A27" s="57">
        <v>22</v>
      </c>
      <c r="B27" s="58" t="s">
        <v>70</v>
      </c>
      <c r="C27" s="99">
        <v>72584</v>
      </c>
      <c r="D27" s="99">
        <v>136647</v>
      </c>
      <c r="E27" s="99">
        <v>227</v>
      </c>
      <c r="F27" s="99">
        <v>1143</v>
      </c>
      <c r="G27" s="100">
        <f t="shared" si="2"/>
        <v>0.83646183231245474</v>
      </c>
      <c r="H27" s="99">
        <v>1599</v>
      </c>
      <c r="I27" s="99">
        <v>9087</v>
      </c>
      <c r="J27" s="99">
        <v>41</v>
      </c>
      <c r="K27" s="99">
        <v>73</v>
      </c>
      <c r="L27" s="100">
        <f t="shared" si="0"/>
        <v>0.80334543853857154</v>
      </c>
      <c r="M27" s="99">
        <v>0</v>
      </c>
      <c r="N27" s="99">
        <v>0</v>
      </c>
      <c r="O27" s="99">
        <f>H27+C27+'ACP_PS_11(i)'!M27+'ACP_PS_11(i)'!H27+'ACP_PS_11(i)'!C27+ACP_MSME_10!C27+'ACP_Agri_9(ii)'!M27</f>
        <v>860328</v>
      </c>
      <c r="P27" s="99">
        <f>I27+D27+'ACP_PS_11(i)'!N27+'ACP_PS_11(i)'!I27+'ACP_PS_11(i)'!D27+ACP_MSME_10!D27+'ACP_Agri_9(ii)'!N27</f>
        <v>2815582.46</v>
      </c>
      <c r="Q27" s="99">
        <f>M27+J27+E27+'ACP_PS_11(i)'!O27+'ACP_PS_11(i)'!J27+'ACP_PS_11(i)'!E27+ACP_MSME_10!O27+'ACP_Agri_9(ii)'!O27</f>
        <v>462365</v>
      </c>
      <c r="R27" s="99">
        <f>N27+K27+F27+'ACP_PS_11(i)'!P27+'ACP_PS_11(i)'!K27+'ACP_PS_11(i)'!F27+ACP_MSME_10!P27+'ACP_Agri_9(ii)'!P27</f>
        <v>992237</v>
      </c>
      <c r="S27" s="100">
        <f t="shared" si="1"/>
        <v>35.240914236978163</v>
      </c>
      <c r="T27" s="111"/>
      <c r="U27" s="111"/>
    </row>
    <row r="28" spans="1:21" x14ac:dyDescent="0.2">
      <c r="A28" s="57">
        <v>23</v>
      </c>
      <c r="B28" s="58" t="s">
        <v>65</v>
      </c>
      <c r="C28" s="99">
        <v>2998</v>
      </c>
      <c r="D28" s="99">
        <v>4974</v>
      </c>
      <c r="E28" s="99">
        <v>0</v>
      </c>
      <c r="F28" s="99">
        <v>0</v>
      </c>
      <c r="G28" s="100">
        <f t="shared" si="2"/>
        <v>0</v>
      </c>
      <c r="H28" s="99">
        <v>12</v>
      </c>
      <c r="I28" s="99">
        <v>283</v>
      </c>
      <c r="J28" s="99">
        <v>0</v>
      </c>
      <c r="K28" s="99">
        <v>0</v>
      </c>
      <c r="L28" s="100">
        <f t="shared" si="0"/>
        <v>0</v>
      </c>
      <c r="M28" s="99">
        <v>699</v>
      </c>
      <c r="N28" s="99">
        <v>7349</v>
      </c>
      <c r="O28" s="99">
        <f>H28+C28+'ACP_PS_11(i)'!M28+'ACP_PS_11(i)'!H28+'ACP_PS_11(i)'!C28+ACP_MSME_10!C28+'ACP_Agri_9(ii)'!M28</f>
        <v>24595</v>
      </c>
      <c r="P28" s="99">
        <f>I28+D28+'ACP_PS_11(i)'!N28+'ACP_PS_11(i)'!I28+'ACP_PS_11(i)'!D28+ACP_MSME_10!D28+'ACP_Agri_9(ii)'!N28</f>
        <v>72002.05</v>
      </c>
      <c r="Q28" s="99">
        <f>M28+J28+E28+'ACP_PS_11(i)'!O28+'ACP_PS_11(i)'!J28+'ACP_PS_11(i)'!E28+ACP_MSME_10!O28+'ACP_Agri_9(ii)'!O28</f>
        <v>29803</v>
      </c>
      <c r="R28" s="99">
        <f>N28+K28+F28+'ACP_PS_11(i)'!P28+'ACP_PS_11(i)'!K28+'ACP_PS_11(i)'!F28+ACP_MSME_10!P28+'ACP_Agri_9(ii)'!P28</f>
        <v>72894</v>
      </c>
      <c r="S28" s="100">
        <f t="shared" si="1"/>
        <v>101.23878417350616</v>
      </c>
    </row>
    <row r="29" spans="1:21" x14ac:dyDescent="0.2">
      <c r="A29" s="57">
        <v>24</v>
      </c>
      <c r="B29" s="58" t="s">
        <v>213</v>
      </c>
      <c r="C29" s="99">
        <v>8268</v>
      </c>
      <c r="D29" s="99">
        <v>9485</v>
      </c>
      <c r="E29" s="99">
        <v>0</v>
      </c>
      <c r="F29" s="99">
        <v>0</v>
      </c>
      <c r="G29" s="100">
        <f t="shared" si="2"/>
        <v>0</v>
      </c>
      <c r="H29" s="99">
        <v>38</v>
      </c>
      <c r="I29" s="99">
        <v>697</v>
      </c>
      <c r="J29" s="99">
        <v>0</v>
      </c>
      <c r="K29" s="99">
        <v>0</v>
      </c>
      <c r="L29" s="100">
        <f t="shared" si="0"/>
        <v>0</v>
      </c>
      <c r="M29" s="99">
        <v>2746</v>
      </c>
      <c r="N29" s="99">
        <v>12906</v>
      </c>
      <c r="O29" s="99">
        <f>H29+C29+'ACP_PS_11(i)'!M29+'ACP_PS_11(i)'!H29+'ACP_PS_11(i)'!C29+ACP_MSME_10!C29+'ACP_Agri_9(ii)'!M29</f>
        <v>69559</v>
      </c>
      <c r="P29" s="99">
        <f>I29+D29+'ACP_PS_11(i)'!N29+'ACP_PS_11(i)'!I29+'ACP_PS_11(i)'!D29+ACP_MSME_10!D29+'ACP_Agri_9(ii)'!N29</f>
        <v>229293.8</v>
      </c>
      <c r="Q29" s="99">
        <f>M29+J29+E29+'ACP_PS_11(i)'!O29+'ACP_PS_11(i)'!J29+'ACP_PS_11(i)'!E29+ACP_MSME_10!O29+'ACP_Agri_9(ii)'!O29</f>
        <v>7905</v>
      </c>
      <c r="R29" s="99">
        <f>N29+K29+F29+'ACP_PS_11(i)'!P29+'ACP_PS_11(i)'!K29+'ACP_PS_11(i)'!F29+ACP_MSME_10!P29+'ACP_Agri_9(ii)'!P29</f>
        <v>33699</v>
      </c>
      <c r="S29" s="100">
        <f t="shared" si="1"/>
        <v>14.696864895605552</v>
      </c>
    </row>
    <row r="30" spans="1:21" x14ac:dyDescent="0.2">
      <c r="A30" s="57">
        <v>25</v>
      </c>
      <c r="B30" s="58" t="s">
        <v>66</v>
      </c>
      <c r="C30" s="99">
        <v>6492</v>
      </c>
      <c r="D30" s="99">
        <v>14644</v>
      </c>
      <c r="E30" s="99">
        <v>85</v>
      </c>
      <c r="F30" s="99">
        <v>282</v>
      </c>
      <c r="G30" s="100">
        <f t="shared" si="2"/>
        <v>1.9257033597377766</v>
      </c>
      <c r="H30" s="99">
        <v>187</v>
      </c>
      <c r="I30" s="99">
        <v>1087</v>
      </c>
      <c r="J30" s="99">
        <v>2</v>
      </c>
      <c r="K30" s="99">
        <v>23</v>
      </c>
      <c r="L30" s="100">
        <f t="shared" si="0"/>
        <v>2.1159153633854646</v>
      </c>
      <c r="M30" s="99">
        <v>0</v>
      </c>
      <c r="N30" s="99">
        <v>0</v>
      </c>
      <c r="O30" s="99">
        <f>H30+C30+'ACP_PS_11(i)'!M30+'ACP_PS_11(i)'!H30+'ACP_PS_11(i)'!C30+ACP_MSME_10!C30+'ACP_Agri_9(ii)'!M30</f>
        <v>126889</v>
      </c>
      <c r="P30" s="99">
        <f>I30+D30+'ACP_PS_11(i)'!N30+'ACP_PS_11(i)'!I30+'ACP_PS_11(i)'!D30+ACP_MSME_10!D30+'ACP_Agri_9(ii)'!N30</f>
        <v>320673.66000000003</v>
      </c>
      <c r="Q30" s="99">
        <f>M30+J30+E30+'ACP_PS_11(i)'!O30+'ACP_PS_11(i)'!J30+'ACP_PS_11(i)'!E30+ACP_MSME_10!O30+'ACP_Agri_9(ii)'!O30</f>
        <v>56849</v>
      </c>
      <c r="R30" s="99">
        <f>N30+K30+F30+'ACP_PS_11(i)'!P30+'ACP_PS_11(i)'!K30+'ACP_PS_11(i)'!F30+ACP_MSME_10!P30+'ACP_Agri_9(ii)'!P30</f>
        <v>191967</v>
      </c>
      <c r="S30" s="100">
        <f t="shared" si="1"/>
        <v>59.86366326439159</v>
      </c>
    </row>
    <row r="31" spans="1:21" x14ac:dyDescent="0.2">
      <c r="A31" s="57">
        <v>26</v>
      </c>
      <c r="B31" s="182" t="s">
        <v>67</v>
      </c>
      <c r="C31" s="99">
        <v>335</v>
      </c>
      <c r="D31" s="99">
        <v>421</v>
      </c>
      <c r="E31" s="99">
        <v>0</v>
      </c>
      <c r="F31" s="99">
        <v>0</v>
      </c>
      <c r="G31" s="100">
        <f t="shared" si="2"/>
        <v>0</v>
      </c>
      <c r="H31" s="99">
        <v>4</v>
      </c>
      <c r="I31" s="99">
        <v>76</v>
      </c>
      <c r="J31" s="99">
        <v>0</v>
      </c>
      <c r="K31" s="99">
        <v>0</v>
      </c>
      <c r="L31" s="100">
        <f t="shared" si="0"/>
        <v>0</v>
      </c>
      <c r="M31" s="99">
        <v>277</v>
      </c>
      <c r="N31" s="99">
        <v>1073</v>
      </c>
      <c r="O31" s="99">
        <f>H31+C31+'ACP_PS_11(i)'!M31+'ACP_PS_11(i)'!H31+'ACP_PS_11(i)'!C31+ACP_MSME_10!C31+'ACP_Agri_9(ii)'!M31</f>
        <v>3060</v>
      </c>
      <c r="P31" s="99">
        <f>I31+D31+'ACP_PS_11(i)'!N31+'ACP_PS_11(i)'!I31+'ACP_PS_11(i)'!D31+ACP_MSME_10!D31+'ACP_Agri_9(ii)'!N31</f>
        <v>11216.56</v>
      </c>
      <c r="Q31" s="99">
        <f>M31+J31+E31+'ACP_PS_11(i)'!O31+'ACP_PS_11(i)'!J31+'ACP_PS_11(i)'!E31+ACP_MSME_10!O31+'ACP_Agri_9(ii)'!O31</f>
        <v>1432</v>
      </c>
      <c r="R31" s="99">
        <f>N31+K31+F31+'ACP_PS_11(i)'!P31+'ACP_PS_11(i)'!K31+'ACP_PS_11(i)'!F31+ACP_MSME_10!P31+'ACP_Agri_9(ii)'!P31</f>
        <v>6919</v>
      </c>
      <c r="S31" s="100">
        <f t="shared" si="1"/>
        <v>61.685579179356239</v>
      </c>
    </row>
    <row r="32" spans="1:21" x14ac:dyDescent="0.2">
      <c r="A32" s="57">
        <v>27</v>
      </c>
      <c r="B32" s="58" t="s">
        <v>50</v>
      </c>
      <c r="C32" s="99">
        <v>1122</v>
      </c>
      <c r="D32" s="99">
        <v>1889</v>
      </c>
      <c r="E32" s="99">
        <v>0</v>
      </c>
      <c r="F32" s="99">
        <v>0</v>
      </c>
      <c r="G32" s="100">
        <f t="shared" si="2"/>
        <v>0</v>
      </c>
      <c r="H32" s="99">
        <v>8</v>
      </c>
      <c r="I32" s="99">
        <v>131</v>
      </c>
      <c r="J32" s="99">
        <v>0</v>
      </c>
      <c r="K32" s="99">
        <v>0</v>
      </c>
      <c r="L32" s="100">
        <f t="shared" si="0"/>
        <v>0</v>
      </c>
      <c r="M32" s="99">
        <v>0</v>
      </c>
      <c r="N32" s="99">
        <v>0</v>
      </c>
      <c r="O32" s="99">
        <f>H32+C32+'ACP_PS_11(i)'!M32+'ACP_PS_11(i)'!H32+'ACP_PS_11(i)'!C32+ACP_MSME_10!C32+'ACP_Agri_9(ii)'!M32</f>
        <v>8087</v>
      </c>
      <c r="P32" s="99">
        <f>I32+D32+'ACP_PS_11(i)'!N32+'ACP_PS_11(i)'!I32+'ACP_PS_11(i)'!D32+ACP_MSME_10!D32+'ACP_Agri_9(ii)'!N32</f>
        <v>26439.41</v>
      </c>
      <c r="Q32" s="99">
        <f>M32+J32+E32+'ACP_PS_11(i)'!O32+'ACP_PS_11(i)'!J32+'ACP_PS_11(i)'!E32+ACP_MSME_10!O32+'ACP_Agri_9(ii)'!O32</f>
        <v>5959</v>
      </c>
      <c r="R32" s="99">
        <f>N32+K32+F32+'ACP_PS_11(i)'!P32+'ACP_PS_11(i)'!K32+'ACP_PS_11(i)'!F32+ACP_MSME_10!P32+'ACP_Agri_9(ii)'!P32</f>
        <v>15097</v>
      </c>
      <c r="S32" s="100">
        <f t="shared" si="1"/>
        <v>57.10036646052238</v>
      </c>
    </row>
    <row r="33" spans="1:21" s="108" customFormat="1" x14ac:dyDescent="0.2">
      <c r="A33" s="356"/>
      <c r="B33" s="60" t="s">
        <v>214</v>
      </c>
      <c r="C33" s="106">
        <f>SUM(C6:C32)</f>
        <v>173430</v>
      </c>
      <c r="D33" s="106">
        <f t="shared" ref="D33:N33" si="3">SUM(D6:D32)</f>
        <v>317554</v>
      </c>
      <c r="E33" s="106">
        <f t="shared" si="3"/>
        <v>434</v>
      </c>
      <c r="F33" s="106">
        <f t="shared" si="3"/>
        <v>1992.35</v>
      </c>
      <c r="G33" s="97">
        <f t="shared" si="2"/>
        <v>0.62740510275417727</v>
      </c>
      <c r="H33" s="106">
        <f t="shared" si="3"/>
        <v>4305</v>
      </c>
      <c r="I33" s="106">
        <f t="shared" si="3"/>
        <v>23086</v>
      </c>
      <c r="J33" s="106">
        <f t="shared" si="3"/>
        <v>48</v>
      </c>
      <c r="K33" s="106">
        <f t="shared" si="3"/>
        <v>493.52000000000004</v>
      </c>
      <c r="L33" s="97">
        <f t="shared" si="0"/>
        <v>2.1377458199774759</v>
      </c>
      <c r="M33" s="106">
        <f t="shared" si="3"/>
        <v>60033</v>
      </c>
      <c r="N33" s="106">
        <f t="shared" si="3"/>
        <v>65248.68</v>
      </c>
      <c r="O33" s="106">
        <f>H33+C33+'ACP_PS_11(i)'!M33+'ACP_PS_11(i)'!H33+'ACP_PS_11(i)'!C33+ACP_MSME_10!C33+'ACP_Agri_9(ii)'!M33</f>
        <v>2080180</v>
      </c>
      <c r="P33" s="106">
        <f>I33+D33+'ACP_PS_11(i)'!N33+'ACP_PS_11(i)'!I33+'ACP_PS_11(i)'!D33+ACP_MSME_10!D33+'ACP_Agri_9(ii)'!N33</f>
        <v>6777585.2599999998</v>
      </c>
      <c r="Q33" s="106">
        <f>M33+J33+E33+'ACP_PS_11(i)'!O33+'ACP_PS_11(i)'!J33+'ACP_PS_11(i)'!E33+ACP_MSME_10!O33+'ACP_Agri_9(ii)'!O33</f>
        <v>1522852</v>
      </c>
      <c r="R33" s="106">
        <f>N33+K33+F33+'ACP_PS_11(i)'!P33+'ACP_PS_11(i)'!K33+'ACP_PS_11(i)'!F33+ACP_MSME_10!P33+'ACP_Agri_9(ii)'!P33</f>
        <v>3589269.1499999994</v>
      </c>
      <c r="S33" s="97">
        <f t="shared" si="1"/>
        <v>52.95793431302404</v>
      </c>
      <c r="T33" s="111"/>
      <c r="U33" s="111"/>
    </row>
    <row r="34" spans="1:21" s="108" customFormat="1" x14ac:dyDescent="0.2">
      <c r="A34" s="57">
        <v>28</v>
      </c>
      <c r="B34" s="58" t="s">
        <v>47</v>
      </c>
      <c r="C34" s="99">
        <v>2740</v>
      </c>
      <c r="D34" s="99">
        <v>6120</v>
      </c>
      <c r="E34" s="99">
        <v>0</v>
      </c>
      <c r="F34" s="99">
        <v>0</v>
      </c>
      <c r="G34" s="100">
        <f t="shared" si="2"/>
        <v>0</v>
      </c>
      <c r="H34" s="99">
        <v>22</v>
      </c>
      <c r="I34" s="99">
        <v>449</v>
      </c>
      <c r="J34" s="99">
        <v>0</v>
      </c>
      <c r="K34" s="99">
        <v>0</v>
      </c>
      <c r="L34" s="100">
        <f t="shared" si="0"/>
        <v>0</v>
      </c>
      <c r="M34" s="99">
        <v>48678</v>
      </c>
      <c r="N34" s="99">
        <f>6116.38+999</f>
        <v>7115.38</v>
      </c>
      <c r="O34" s="99">
        <f>H34+C34+'ACP_PS_11(i)'!M34+'ACP_PS_11(i)'!H34+'ACP_PS_11(i)'!C34+ACP_MSME_10!C34+'ACP_Agri_9(ii)'!M34</f>
        <v>40040</v>
      </c>
      <c r="P34" s="99">
        <f>I34+D34+'ACP_PS_11(i)'!N34+'ACP_PS_11(i)'!I34+'ACP_PS_11(i)'!D34+ACP_MSME_10!D34+'ACP_Agri_9(ii)'!N34</f>
        <v>139086.83000000002</v>
      </c>
      <c r="Q34" s="99">
        <f>M34+J34+E34+'ACP_PS_11(i)'!O34+'ACP_PS_11(i)'!J34+'ACP_PS_11(i)'!E34+ACP_MSME_10!O34+'ACP_Agri_9(ii)'!O34</f>
        <v>144556</v>
      </c>
      <c r="R34" s="99">
        <f>N34+K34+F34+'ACP_PS_11(i)'!P34+'ACP_PS_11(i)'!K34+'ACP_PS_11(i)'!F34+ACP_MSME_10!P34+'ACP_Agri_9(ii)'!P34</f>
        <v>81726.400000000009</v>
      </c>
      <c r="S34" s="100">
        <f t="shared" si="1"/>
        <v>58.759265704739981</v>
      </c>
      <c r="T34" s="111"/>
      <c r="U34" s="111"/>
    </row>
    <row r="35" spans="1:21" x14ac:dyDescent="0.2">
      <c r="A35" s="57">
        <v>29</v>
      </c>
      <c r="B35" s="58" t="s">
        <v>215</v>
      </c>
      <c r="C35" s="99">
        <v>658</v>
      </c>
      <c r="D35" s="99">
        <v>706</v>
      </c>
      <c r="E35" s="99">
        <v>0</v>
      </c>
      <c r="F35" s="99">
        <v>0</v>
      </c>
      <c r="G35" s="100">
        <f t="shared" si="2"/>
        <v>0</v>
      </c>
      <c r="H35" s="99">
        <v>0</v>
      </c>
      <c r="I35" s="99">
        <v>0</v>
      </c>
      <c r="J35" s="99">
        <v>0</v>
      </c>
      <c r="K35" s="99">
        <v>0</v>
      </c>
      <c r="L35" s="100">
        <v>0</v>
      </c>
      <c r="M35" s="99">
        <v>0</v>
      </c>
      <c r="N35" s="99">
        <v>0</v>
      </c>
      <c r="O35" s="99">
        <f>H35+C35+'ACP_PS_11(i)'!M35+'ACP_PS_11(i)'!H35+'ACP_PS_11(i)'!C35+ACP_MSME_10!C35+'ACP_Agri_9(ii)'!M35</f>
        <v>1661</v>
      </c>
      <c r="P35" s="99">
        <f>I35+D35+'ACP_PS_11(i)'!N35+'ACP_PS_11(i)'!I35+'ACP_PS_11(i)'!D35+ACP_MSME_10!D35+'ACP_Agri_9(ii)'!N35</f>
        <v>2063.98</v>
      </c>
      <c r="Q35" s="99">
        <f>M35+J35+E35+'ACP_PS_11(i)'!O35+'ACP_PS_11(i)'!J35+'ACP_PS_11(i)'!E35+ACP_MSME_10!O35+'ACP_Agri_9(ii)'!O35</f>
        <v>941</v>
      </c>
      <c r="R35" s="99">
        <f>N35+K35+F35+'ACP_PS_11(i)'!P35+'ACP_PS_11(i)'!K35+'ACP_PS_11(i)'!F35+ACP_MSME_10!P35+'ACP_Agri_9(ii)'!P35</f>
        <v>396</v>
      </c>
      <c r="S35" s="100">
        <f t="shared" si="1"/>
        <v>19.186232424732797</v>
      </c>
    </row>
    <row r="36" spans="1:21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100">
        <v>0</v>
      </c>
      <c r="H36" s="99">
        <v>0</v>
      </c>
      <c r="I36" s="99">
        <v>0</v>
      </c>
      <c r="J36" s="99">
        <v>0</v>
      </c>
      <c r="K36" s="99">
        <v>0</v>
      </c>
      <c r="L36" s="100">
        <v>0</v>
      </c>
      <c r="M36" s="99">
        <v>0</v>
      </c>
      <c r="N36" s="99">
        <v>0</v>
      </c>
      <c r="O36" s="99">
        <f>H36+C36+'ACP_PS_11(i)'!M36+'ACP_PS_11(i)'!H36+'ACP_PS_11(i)'!C36+ACP_MSME_10!C36+'ACP_Agri_9(ii)'!M36</f>
        <v>0</v>
      </c>
      <c r="P36" s="99">
        <f>I36+D36+'ACP_PS_11(i)'!N36+'ACP_PS_11(i)'!I36+'ACP_PS_11(i)'!D36+ACP_MSME_10!D36+'ACP_Agri_9(ii)'!N36</f>
        <v>0</v>
      </c>
      <c r="Q36" s="99">
        <f>M36+J36+E36+'ACP_PS_11(i)'!O36+'ACP_PS_11(i)'!J36+'ACP_PS_11(i)'!E36+ACP_MSME_10!O36+'ACP_Agri_9(ii)'!O36</f>
        <v>0</v>
      </c>
      <c r="R36" s="99">
        <f>N36+K36+F36+'ACP_PS_11(i)'!P36+'ACP_PS_11(i)'!K36+'ACP_PS_11(i)'!F36+ACP_MSME_10!P36+'ACP_Agri_9(ii)'!P36</f>
        <v>0</v>
      </c>
      <c r="S36" s="100">
        <v>0</v>
      </c>
    </row>
    <row r="37" spans="1:21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100">
        <v>0</v>
      </c>
      <c r="H37" s="99">
        <v>0</v>
      </c>
      <c r="I37" s="99">
        <v>0</v>
      </c>
      <c r="J37" s="99">
        <v>0</v>
      </c>
      <c r="K37" s="99">
        <v>0</v>
      </c>
      <c r="L37" s="100">
        <v>0</v>
      </c>
      <c r="M37" s="99">
        <v>0</v>
      </c>
      <c r="N37" s="99">
        <v>0</v>
      </c>
      <c r="O37" s="99">
        <f>H37+C37+'ACP_PS_11(i)'!M37+'ACP_PS_11(i)'!H37+'ACP_PS_11(i)'!C37+ACP_MSME_10!C37+'ACP_Agri_9(ii)'!M37</f>
        <v>0</v>
      </c>
      <c r="P37" s="99">
        <f>I37+D37+'ACP_PS_11(i)'!N37+'ACP_PS_11(i)'!I37+'ACP_PS_11(i)'!D37+ACP_MSME_10!D37+'ACP_Agri_9(ii)'!N37</f>
        <v>0</v>
      </c>
      <c r="Q37" s="99">
        <f>M37+J37+E37+'ACP_PS_11(i)'!O37+'ACP_PS_11(i)'!J37+'ACP_PS_11(i)'!E37+ACP_MSME_10!O37+'ACP_Agri_9(ii)'!O37</f>
        <v>0</v>
      </c>
      <c r="R37" s="99">
        <f>N37+K37+F37+'ACP_PS_11(i)'!P37+'ACP_PS_11(i)'!K37+'ACP_PS_11(i)'!F37+ACP_MSME_10!P37+'ACP_Agri_9(ii)'!P37</f>
        <v>0</v>
      </c>
      <c r="S37" s="100">
        <v>0</v>
      </c>
    </row>
    <row r="38" spans="1:21" x14ac:dyDescent="0.2">
      <c r="A38" s="57">
        <v>32</v>
      </c>
      <c r="B38" s="58" t="s">
        <v>51</v>
      </c>
      <c r="C38" s="99">
        <v>14</v>
      </c>
      <c r="D38" s="99">
        <v>38</v>
      </c>
      <c r="E38" s="99">
        <v>0</v>
      </c>
      <c r="F38" s="99">
        <v>0</v>
      </c>
      <c r="G38" s="100">
        <f t="shared" ref="G38:G43" si="4">F38*100/D38</f>
        <v>0</v>
      </c>
      <c r="H38" s="99">
        <v>4</v>
      </c>
      <c r="I38" s="99">
        <v>3</v>
      </c>
      <c r="J38" s="99">
        <v>0</v>
      </c>
      <c r="K38" s="99">
        <v>0</v>
      </c>
      <c r="L38" s="100">
        <f t="shared" si="0"/>
        <v>0</v>
      </c>
      <c r="M38" s="99">
        <v>0</v>
      </c>
      <c r="N38" s="99">
        <v>0</v>
      </c>
      <c r="O38" s="99">
        <f>H38+C38+'ACP_PS_11(i)'!M38+'ACP_PS_11(i)'!H38+'ACP_PS_11(i)'!C38+ACP_MSME_10!C38+'ACP_Agri_9(ii)'!M38</f>
        <v>204</v>
      </c>
      <c r="P38" s="99">
        <f>I38+D38+'ACP_PS_11(i)'!N38+'ACP_PS_11(i)'!I38+'ACP_PS_11(i)'!D38+ACP_MSME_10!D38+'ACP_Agri_9(ii)'!N38</f>
        <v>1030</v>
      </c>
      <c r="Q38" s="99">
        <f>M38+J38+E38+'ACP_PS_11(i)'!O38+'ACP_PS_11(i)'!J38+'ACP_PS_11(i)'!E38+ACP_MSME_10!O38+'ACP_Agri_9(ii)'!O38</f>
        <v>17</v>
      </c>
      <c r="R38" s="99">
        <f>N38+K38+F38+'ACP_PS_11(i)'!P38+'ACP_PS_11(i)'!K38+'ACP_PS_11(i)'!F38+ACP_MSME_10!P38+'ACP_Agri_9(ii)'!P38</f>
        <v>328.99</v>
      </c>
      <c r="S38" s="100">
        <f t="shared" si="1"/>
        <v>31.940776699029126</v>
      </c>
    </row>
    <row r="39" spans="1:21" x14ac:dyDescent="0.2">
      <c r="A39" s="57">
        <v>33</v>
      </c>
      <c r="B39" s="58" t="s">
        <v>217</v>
      </c>
      <c r="C39" s="99">
        <v>38</v>
      </c>
      <c r="D39" s="99">
        <v>259</v>
      </c>
      <c r="E39" s="99">
        <v>0</v>
      </c>
      <c r="F39" s="99">
        <v>0</v>
      </c>
      <c r="G39" s="100">
        <f t="shared" si="4"/>
        <v>0</v>
      </c>
      <c r="H39" s="99">
        <v>2</v>
      </c>
      <c r="I39" s="99">
        <v>2</v>
      </c>
      <c r="J39" s="99">
        <v>0</v>
      </c>
      <c r="K39" s="99">
        <v>0</v>
      </c>
      <c r="L39" s="100">
        <f t="shared" si="0"/>
        <v>0</v>
      </c>
      <c r="M39" s="99">
        <v>0</v>
      </c>
      <c r="N39" s="99">
        <v>0</v>
      </c>
      <c r="O39" s="99">
        <f>H39+C39+'ACP_PS_11(i)'!M39+'ACP_PS_11(i)'!H39+'ACP_PS_11(i)'!C39+ACP_MSME_10!C39+'ACP_Agri_9(ii)'!M39</f>
        <v>497</v>
      </c>
      <c r="P39" s="99">
        <f>I39+D39+'ACP_PS_11(i)'!N39+'ACP_PS_11(i)'!I39+'ACP_PS_11(i)'!D39+ACP_MSME_10!D39+'ACP_Agri_9(ii)'!N39</f>
        <v>1498.08</v>
      </c>
      <c r="Q39" s="99">
        <f>M39+J39+E39+'ACP_PS_11(i)'!O39+'ACP_PS_11(i)'!J39+'ACP_PS_11(i)'!E39+ACP_MSME_10!O39+'ACP_Agri_9(ii)'!O39</f>
        <v>0</v>
      </c>
      <c r="R39" s="99">
        <f>N39+K39+F39+'ACP_PS_11(i)'!P39+'ACP_PS_11(i)'!K39+'ACP_PS_11(i)'!F39+ACP_MSME_10!P39+'ACP_Agri_9(ii)'!P39</f>
        <v>0</v>
      </c>
      <c r="S39" s="100">
        <f t="shared" si="1"/>
        <v>0</v>
      </c>
    </row>
    <row r="40" spans="1:21" x14ac:dyDescent="0.2">
      <c r="A40" s="57">
        <v>34</v>
      </c>
      <c r="B40" s="58" t="s">
        <v>218</v>
      </c>
      <c r="C40" s="99">
        <v>41</v>
      </c>
      <c r="D40" s="99">
        <v>98</v>
      </c>
      <c r="E40" s="99">
        <v>0</v>
      </c>
      <c r="F40" s="99">
        <v>0</v>
      </c>
      <c r="G40" s="100">
        <f t="shared" si="4"/>
        <v>0</v>
      </c>
      <c r="H40" s="99">
        <v>1</v>
      </c>
      <c r="I40" s="99">
        <v>3</v>
      </c>
      <c r="J40" s="99">
        <v>0</v>
      </c>
      <c r="K40" s="99">
        <v>0</v>
      </c>
      <c r="L40" s="100">
        <f t="shared" si="0"/>
        <v>0</v>
      </c>
      <c r="M40" s="99">
        <v>0</v>
      </c>
      <c r="N40" s="99">
        <v>0</v>
      </c>
      <c r="O40" s="99">
        <f>H40+C40+'ACP_PS_11(i)'!M40+'ACP_PS_11(i)'!H40+'ACP_PS_11(i)'!C40+ACP_MSME_10!C40+'ACP_Agri_9(ii)'!M40</f>
        <v>340</v>
      </c>
      <c r="P40" s="99">
        <f>I40+D40+'ACP_PS_11(i)'!N40+'ACP_PS_11(i)'!I40+'ACP_PS_11(i)'!D40+ACP_MSME_10!D40+'ACP_Agri_9(ii)'!N40</f>
        <v>1337.06</v>
      </c>
      <c r="Q40" s="99">
        <f>M40+J40+E40+'ACP_PS_11(i)'!O40+'ACP_PS_11(i)'!J40+'ACP_PS_11(i)'!E40+ACP_MSME_10!O40+'ACP_Agri_9(ii)'!O40</f>
        <v>0</v>
      </c>
      <c r="R40" s="99">
        <f>N40+K40+F40+'ACP_PS_11(i)'!P40+'ACP_PS_11(i)'!K40+'ACP_PS_11(i)'!F40+ACP_MSME_10!P40+'ACP_Agri_9(ii)'!P40</f>
        <v>0</v>
      </c>
      <c r="S40" s="100">
        <f t="shared" si="1"/>
        <v>0</v>
      </c>
    </row>
    <row r="41" spans="1:21" x14ac:dyDescent="0.2">
      <c r="A41" s="57">
        <v>35</v>
      </c>
      <c r="B41" s="58" t="s">
        <v>219</v>
      </c>
      <c r="C41" s="99">
        <v>107</v>
      </c>
      <c r="D41" s="99">
        <v>304</v>
      </c>
      <c r="E41" s="99">
        <v>0</v>
      </c>
      <c r="F41" s="99">
        <v>0</v>
      </c>
      <c r="G41" s="100">
        <f t="shared" si="4"/>
        <v>0</v>
      </c>
      <c r="H41" s="99">
        <v>4</v>
      </c>
      <c r="I41" s="99">
        <v>5</v>
      </c>
      <c r="J41" s="99">
        <v>0</v>
      </c>
      <c r="K41" s="99">
        <v>0</v>
      </c>
      <c r="L41" s="100">
        <f t="shared" si="0"/>
        <v>0</v>
      </c>
      <c r="M41" s="99">
        <v>42</v>
      </c>
      <c r="N41" s="99">
        <v>214</v>
      </c>
      <c r="O41" s="99">
        <f>H41+C41+'ACP_PS_11(i)'!M41+'ACP_PS_11(i)'!H41+'ACP_PS_11(i)'!C41+ACP_MSME_10!C41+'ACP_Agri_9(ii)'!M41</f>
        <v>1734</v>
      </c>
      <c r="P41" s="99">
        <f>I41+D41+'ACP_PS_11(i)'!N41+'ACP_PS_11(i)'!I41+'ACP_PS_11(i)'!D41+ACP_MSME_10!D41+'ACP_Agri_9(ii)'!N41</f>
        <v>6964.8899999999994</v>
      </c>
      <c r="Q41" s="99">
        <f>M41+J41+E41+'ACP_PS_11(i)'!O41+'ACP_PS_11(i)'!J41+'ACP_PS_11(i)'!E41+ACP_MSME_10!O41+'ACP_Agri_9(ii)'!O41</f>
        <v>2815</v>
      </c>
      <c r="R41" s="99">
        <f>N41+K41+F41+'ACP_PS_11(i)'!P41+'ACP_PS_11(i)'!K41+'ACP_PS_11(i)'!F41+ACP_MSME_10!P41+'ACP_Agri_9(ii)'!P41</f>
        <v>8113.34</v>
      </c>
      <c r="S41" s="100">
        <f t="shared" si="1"/>
        <v>116.48913335314701</v>
      </c>
    </row>
    <row r="42" spans="1:21" x14ac:dyDescent="0.2">
      <c r="A42" s="57">
        <v>36</v>
      </c>
      <c r="B42" s="58" t="s">
        <v>71</v>
      </c>
      <c r="C42" s="99">
        <v>3710</v>
      </c>
      <c r="D42" s="99">
        <v>6990</v>
      </c>
      <c r="E42" s="99">
        <v>0</v>
      </c>
      <c r="F42" s="99">
        <v>0</v>
      </c>
      <c r="G42" s="100">
        <f t="shared" si="4"/>
        <v>0</v>
      </c>
      <c r="H42" s="99">
        <v>142</v>
      </c>
      <c r="I42" s="99">
        <v>818</v>
      </c>
      <c r="J42" s="99">
        <v>0</v>
      </c>
      <c r="K42" s="99">
        <v>0</v>
      </c>
      <c r="L42" s="100">
        <f t="shared" si="0"/>
        <v>0</v>
      </c>
      <c r="M42" s="99">
        <v>25</v>
      </c>
      <c r="N42" s="99">
        <v>11</v>
      </c>
      <c r="O42" s="99">
        <f>H42+C42+'ACP_PS_11(i)'!M42+'ACP_PS_11(i)'!H42+'ACP_PS_11(i)'!C42+ACP_MSME_10!C42+'ACP_Agri_9(ii)'!M42</f>
        <v>53865</v>
      </c>
      <c r="P42" s="99">
        <f>I42+D42+'ACP_PS_11(i)'!N42+'ACP_PS_11(i)'!I42+'ACP_PS_11(i)'!D42+ACP_MSME_10!D42+'ACP_Agri_9(ii)'!N42</f>
        <v>215681.58000000002</v>
      </c>
      <c r="Q42" s="99">
        <f>M42+J42+E42+'ACP_PS_11(i)'!O42+'ACP_PS_11(i)'!J42+'ACP_PS_11(i)'!E42+ACP_MSME_10!O42+'ACP_Agri_9(ii)'!O42</f>
        <v>97697</v>
      </c>
      <c r="R42" s="99">
        <f>N42+K42+F42+'ACP_PS_11(i)'!P42+'ACP_PS_11(i)'!K42+'ACP_PS_11(i)'!F42+ACP_MSME_10!P42+'ACP_Agri_9(ii)'!P42</f>
        <v>290737</v>
      </c>
      <c r="S42" s="100">
        <f t="shared" si="1"/>
        <v>134.79917941995788</v>
      </c>
    </row>
    <row r="43" spans="1:21" x14ac:dyDescent="0.2">
      <c r="A43" s="57">
        <v>37</v>
      </c>
      <c r="B43" s="58" t="s">
        <v>72</v>
      </c>
      <c r="C43" s="99">
        <v>9270</v>
      </c>
      <c r="D43" s="99">
        <v>17252</v>
      </c>
      <c r="E43" s="99">
        <v>0</v>
      </c>
      <c r="F43" s="99">
        <v>0</v>
      </c>
      <c r="G43" s="100">
        <f t="shared" si="4"/>
        <v>0</v>
      </c>
      <c r="H43" s="99">
        <v>144</v>
      </c>
      <c r="I43" s="99">
        <v>910</v>
      </c>
      <c r="J43" s="99">
        <v>1</v>
      </c>
      <c r="K43" s="99">
        <v>1071</v>
      </c>
      <c r="L43" s="100">
        <f t="shared" si="0"/>
        <v>117.69230769230769</v>
      </c>
      <c r="M43" s="99">
        <v>494</v>
      </c>
      <c r="N43" s="99">
        <v>178</v>
      </c>
      <c r="O43" s="99">
        <f>H43+C43+'ACP_PS_11(i)'!M43+'ACP_PS_11(i)'!H43+'ACP_PS_11(i)'!C43+ACP_MSME_10!C43+'ACP_Agri_9(ii)'!M43</f>
        <v>60123</v>
      </c>
      <c r="P43" s="99">
        <f>I43+D43+'ACP_PS_11(i)'!N43+'ACP_PS_11(i)'!I43+'ACP_PS_11(i)'!D43+ACP_MSME_10!D43+'ACP_Agri_9(ii)'!N43</f>
        <v>215822.41</v>
      </c>
      <c r="Q43" s="99">
        <f>M43+J43+E43+'ACP_PS_11(i)'!O43+'ACP_PS_11(i)'!J43+'ACP_PS_11(i)'!E43+ACP_MSME_10!O43+'ACP_Agri_9(ii)'!O43</f>
        <v>85407</v>
      </c>
      <c r="R43" s="99">
        <f>N43+K43+F43+'ACP_PS_11(i)'!P43+'ACP_PS_11(i)'!K43+'ACP_PS_11(i)'!F43+ACP_MSME_10!P43+'ACP_Agri_9(ii)'!P43</f>
        <v>309824</v>
      </c>
      <c r="S43" s="100">
        <f t="shared" si="1"/>
        <v>143.55506455515902</v>
      </c>
    </row>
    <row r="44" spans="1:21" x14ac:dyDescent="0.2">
      <c r="A44" s="57">
        <v>38</v>
      </c>
      <c r="B44" s="58" t="s">
        <v>220</v>
      </c>
      <c r="C44" s="99">
        <v>0</v>
      </c>
      <c r="D44" s="99">
        <v>0</v>
      </c>
      <c r="E44" s="99">
        <v>0</v>
      </c>
      <c r="F44" s="99">
        <v>0</v>
      </c>
      <c r="G44" s="100">
        <v>0</v>
      </c>
      <c r="H44" s="99">
        <v>0</v>
      </c>
      <c r="I44" s="99">
        <v>0</v>
      </c>
      <c r="J44" s="99">
        <v>0</v>
      </c>
      <c r="K44" s="99">
        <v>0</v>
      </c>
      <c r="L44" s="100">
        <v>0</v>
      </c>
      <c r="M44" s="99">
        <v>0</v>
      </c>
      <c r="N44" s="99">
        <v>0</v>
      </c>
      <c r="O44" s="99">
        <f>H44+C44+'ACP_PS_11(i)'!M44+'ACP_PS_11(i)'!H44+'ACP_PS_11(i)'!C44+ACP_MSME_10!C44+'ACP_Agri_9(ii)'!M44</f>
        <v>0</v>
      </c>
      <c r="P44" s="99">
        <f>I44+D44+'ACP_PS_11(i)'!N44+'ACP_PS_11(i)'!I44+'ACP_PS_11(i)'!D44+ACP_MSME_10!D44+'ACP_Agri_9(ii)'!N44</f>
        <v>0</v>
      </c>
      <c r="Q44" s="99">
        <f>M44+J44+E44+'ACP_PS_11(i)'!O44+'ACP_PS_11(i)'!J44+'ACP_PS_11(i)'!E44+ACP_MSME_10!O44+'ACP_Agri_9(ii)'!O44</f>
        <v>53924</v>
      </c>
      <c r="R44" s="99">
        <f>N44+K44+F44+'ACP_PS_11(i)'!P44+'ACP_PS_11(i)'!K44+'ACP_PS_11(i)'!F44+ACP_MSME_10!P44+'ACP_Agri_9(ii)'!P44</f>
        <v>2316</v>
      </c>
      <c r="S44" s="100">
        <v>0</v>
      </c>
    </row>
    <row r="45" spans="1:21" x14ac:dyDescent="0.2">
      <c r="A45" s="57">
        <v>39</v>
      </c>
      <c r="B45" s="58" t="s">
        <v>221</v>
      </c>
      <c r="C45" s="99">
        <v>378</v>
      </c>
      <c r="D45" s="99">
        <v>1048</v>
      </c>
      <c r="E45" s="99">
        <v>0</v>
      </c>
      <c r="F45" s="99">
        <v>0</v>
      </c>
      <c r="G45" s="100">
        <f t="shared" ref="G45:G52" si="5">F45*100/D45</f>
        <v>0</v>
      </c>
      <c r="H45" s="99">
        <v>26</v>
      </c>
      <c r="I45" s="99">
        <v>111</v>
      </c>
      <c r="J45" s="99">
        <v>0</v>
      </c>
      <c r="K45" s="99">
        <v>0</v>
      </c>
      <c r="L45" s="100">
        <f t="shared" si="0"/>
        <v>0</v>
      </c>
      <c r="M45" s="99">
        <v>1</v>
      </c>
      <c r="N45" s="99">
        <v>1</v>
      </c>
      <c r="O45" s="99">
        <f>H45+C45+'ACP_PS_11(i)'!M45+'ACP_PS_11(i)'!H45+'ACP_PS_11(i)'!C45+ACP_MSME_10!C45+'ACP_Agri_9(ii)'!M45</f>
        <v>6950</v>
      </c>
      <c r="P45" s="99">
        <f>I45+D45+'ACP_PS_11(i)'!N45+'ACP_PS_11(i)'!I45+'ACP_PS_11(i)'!D45+ACP_MSME_10!D45+'ACP_Agri_9(ii)'!N45</f>
        <v>27452.73</v>
      </c>
      <c r="Q45" s="99">
        <f>M45+J45+E45+'ACP_PS_11(i)'!O45+'ACP_PS_11(i)'!J45+'ACP_PS_11(i)'!E45+ACP_MSME_10!O45+'ACP_Agri_9(ii)'!O45</f>
        <v>15902</v>
      </c>
      <c r="R45" s="99">
        <f>N45+K45+F45+'ACP_PS_11(i)'!P45+'ACP_PS_11(i)'!K45+'ACP_PS_11(i)'!F45+ACP_MSME_10!P45+'ACP_Agri_9(ii)'!P45</f>
        <v>63438</v>
      </c>
      <c r="S45" s="100">
        <f t="shared" si="1"/>
        <v>231.08084332596431</v>
      </c>
    </row>
    <row r="46" spans="1:21" x14ac:dyDescent="0.2">
      <c r="A46" s="57">
        <v>40</v>
      </c>
      <c r="B46" s="58" t="s">
        <v>222</v>
      </c>
      <c r="C46" s="99">
        <v>111</v>
      </c>
      <c r="D46" s="99">
        <v>302</v>
      </c>
      <c r="E46" s="99">
        <v>0</v>
      </c>
      <c r="F46" s="99">
        <v>0</v>
      </c>
      <c r="G46" s="100">
        <f t="shared" si="5"/>
        <v>0</v>
      </c>
      <c r="H46" s="99">
        <v>12</v>
      </c>
      <c r="I46" s="99">
        <v>51</v>
      </c>
      <c r="J46" s="99">
        <v>0</v>
      </c>
      <c r="K46" s="99">
        <v>0</v>
      </c>
      <c r="L46" s="100">
        <f t="shared" si="0"/>
        <v>0</v>
      </c>
      <c r="M46" s="99">
        <v>0</v>
      </c>
      <c r="N46" s="99">
        <v>0</v>
      </c>
      <c r="O46" s="99">
        <f>H46+C46+'ACP_PS_11(i)'!M46+'ACP_PS_11(i)'!H46+'ACP_PS_11(i)'!C46+ACP_MSME_10!C46+'ACP_Agri_9(ii)'!M46</f>
        <v>974</v>
      </c>
      <c r="P46" s="99">
        <f>I46+D46+'ACP_PS_11(i)'!N46+'ACP_PS_11(i)'!I46+'ACP_PS_11(i)'!D46+ACP_MSME_10!D46+'ACP_Agri_9(ii)'!N46</f>
        <v>4793.68</v>
      </c>
      <c r="Q46" s="99">
        <f>M46+J46+E46+'ACP_PS_11(i)'!O46+'ACP_PS_11(i)'!J46+'ACP_PS_11(i)'!E46+ACP_MSME_10!O46+'ACP_Agri_9(ii)'!O46</f>
        <v>5</v>
      </c>
      <c r="R46" s="99">
        <f>N46+K46+F46+'ACP_PS_11(i)'!P46+'ACP_PS_11(i)'!K46+'ACP_PS_11(i)'!F46+ACP_MSME_10!P46+'ACP_Agri_9(ii)'!P46</f>
        <v>23</v>
      </c>
      <c r="S46" s="100">
        <f t="shared" si="1"/>
        <v>0.47979840122828388</v>
      </c>
    </row>
    <row r="47" spans="1:21" x14ac:dyDescent="0.2">
      <c r="A47" s="57">
        <v>41</v>
      </c>
      <c r="B47" s="58" t="s">
        <v>223</v>
      </c>
      <c r="C47" s="99">
        <v>133</v>
      </c>
      <c r="D47" s="99">
        <v>283</v>
      </c>
      <c r="E47" s="99">
        <v>0</v>
      </c>
      <c r="F47" s="99">
        <v>0</v>
      </c>
      <c r="G47" s="100">
        <f t="shared" si="5"/>
        <v>0</v>
      </c>
      <c r="H47" s="99">
        <v>14</v>
      </c>
      <c r="I47" s="99">
        <v>50</v>
      </c>
      <c r="J47" s="99">
        <v>0</v>
      </c>
      <c r="K47" s="99">
        <v>0</v>
      </c>
      <c r="L47" s="100">
        <f t="shared" si="0"/>
        <v>0</v>
      </c>
      <c r="M47" s="99">
        <v>90</v>
      </c>
      <c r="N47" s="99">
        <f>489.94+1472</f>
        <v>1961.94</v>
      </c>
      <c r="O47" s="99">
        <f>H47+C47+'ACP_PS_11(i)'!M47+'ACP_PS_11(i)'!H47+'ACP_PS_11(i)'!C47+ACP_MSME_10!C47+'ACP_Agri_9(ii)'!M47</f>
        <v>1673</v>
      </c>
      <c r="P47" s="99">
        <f>I47+D47+'ACP_PS_11(i)'!N47+'ACP_PS_11(i)'!I47+'ACP_PS_11(i)'!D47+ACP_MSME_10!D47+'ACP_Agri_9(ii)'!N47</f>
        <v>5936.02</v>
      </c>
      <c r="Q47" s="99">
        <f>M47+J47+E47+'ACP_PS_11(i)'!O47+'ACP_PS_11(i)'!J47+'ACP_PS_11(i)'!E47+ACP_MSME_10!O47+'ACP_Agri_9(ii)'!O47</f>
        <v>237</v>
      </c>
      <c r="R47" s="99">
        <f>N47+K47+F47+'ACP_PS_11(i)'!P47+'ACP_PS_11(i)'!K47+'ACP_PS_11(i)'!F47+ACP_MSME_10!P47+'ACP_Agri_9(ii)'!P47</f>
        <v>5708.2</v>
      </c>
      <c r="S47" s="100">
        <f t="shared" si="1"/>
        <v>96.162074925623557</v>
      </c>
    </row>
    <row r="48" spans="1:21" x14ac:dyDescent="0.2">
      <c r="A48" s="57">
        <v>42</v>
      </c>
      <c r="B48" s="58" t="s">
        <v>224</v>
      </c>
      <c r="C48" s="99">
        <v>126</v>
      </c>
      <c r="D48" s="99">
        <v>248</v>
      </c>
      <c r="E48" s="99">
        <v>0</v>
      </c>
      <c r="F48" s="99">
        <v>0</v>
      </c>
      <c r="G48" s="100">
        <f t="shared" si="5"/>
        <v>0</v>
      </c>
      <c r="H48" s="99">
        <v>11</v>
      </c>
      <c r="I48" s="99">
        <v>15</v>
      </c>
      <c r="J48" s="99">
        <v>0</v>
      </c>
      <c r="K48" s="99">
        <v>0</v>
      </c>
      <c r="L48" s="100">
        <f t="shared" si="0"/>
        <v>0</v>
      </c>
      <c r="M48" s="99">
        <v>0</v>
      </c>
      <c r="N48" s="99">
        <v>0</v>
      </c>
      <c r="O48" s="99">
        <f>H48+C48+'ACP_PS_11(i)'!M48+'ACP_PS_11(i)'!H48+'ACP_PS_11(i)'!C48+ACP_MSME_10!C48+'ACP_Agri_9(ii)'!M48</f>
        <v>453</v>
      </c>
      <c r="P48" s="99">
        <f>I48+D48+'ACP_PS_11(i)'!N48+'ACP_PS_11(i)'!I48+'ACP_PS_11(i)'!D48+ACP_MSME_10!D48+'ACP_Agri_9(ii)'!N48</f>
        <v>1892</v>
      </c>
      <c r="Q48" s="99">
        <f>M48+J48+E48+'ACP_PS_11(i)'!O48+'ACP_PS_11(i)'!J48+'ACP_PS_11(i)'!E48+ACP_MSME_10!O48+'ACP_Agri_9(ii)'!O48</f>
        <v>0</v>
      </c>
      <c r="R48" s="99">
        <f>N48+K48+F48+'ACP_PS_11(i)'!P48+'ACP_PS_11(i)'!K48+'ACP_PS_11(i)'!F48+ACP_MSME_10!P48+'ACP_Agri_9(ii)'!P48</f>
        <v>0</v>
      </c>
      <c r="S48" s="100">
        <f t="shared" si="1"/>
        <v>0</v>
      </c>
    </row>
    <row r="49" spans="1:21" x14ac:dyDescent="0.2">
      <c r="A49" s="57">
        <v>43</v>
      </c>
      <c r="B49" s="58" t="s">
        <v>73</v>
      </c>
      <c r="C49" s="99">
        <v>204</v>
      </c>
      <c r="D49" s="99">
        <v>647</v>
      </c>
      <c r="E49" s="99">
        <v>0</v>
      </c>
      <c r="F49" s="99">
        <v>0</v>
      </c>
      <c r="G49" s="100">
        <f t="shared" si="5"/>
        <v>0</v>
      </c>
      <c r="H49" s="99">
        <v>14</v>
      </c>
      <c r="I49" s="99">
        <v>66</v>
      </c>
      <c r="J49" s="99">
        <v>0</v>
      </c>
      <c r="K49" s="99">
        <v>0</v>
      </c>
      <c r="L49" s="100">
        <f t="shared" si="0"/>
        <v>0</v>
      </c>
      <c r="M49" s="99">
        <v>37</v>
      </c>
      <c r="N49" s="99">
        <v>19</v>
      </c>
      <c r="O49" s="99">
        <f>H49+C49+'ACP_PS_11(i)'!M49+'ACP_PS_11(i)'!H49+'ACP_PS_11(i)'!C49+ACP_MSME_10!C49+'ACP_Agri_9(ii)'!M49</f>
        <v>9359</v>
      </c>
      <c r="P49" s="99">
        <f>I49+D49+'ACP_PS_11(i)'!N49+'ACP_PS_11(i)'!I49+'ACP_PS_11(i)'!D49+ACP_MSME_10!D49+'ACP_Agri_9(ii)'!N49</f>
        <v>43665.97</v>
      </c>
      <c r="Q49" s="99">
        <f>M49+J49+E49+'ACP_PS_11(i)'!O49+'ACP_PS_11(i)'!J49+'ACP_PS_11(i)'!E49+ACP_MSME_10!O49+'ACP_Agri_9(ii)'!O49</f>
        <v>14553</v>
      </c>
      <c r="R49" s="99">
        <f>N49+K49+F49+'ACP_PS_11(i)'!P49+'ACP_PS_11(i)'!K49+'ACP_PS_11(i)'!F49+ACP_MSME_10!P49+'ACP_Agri_9(ii)'!P49</f>
        <v>51149</v>
      </c>
      <c r="S49" s="100">
        <f t="shared" si="1"/>
        <v>117.1369833304974</v>
      </c>
    </row>
    <row r="50" spans="1:21" x14ac:dyDescent="0.2">
      <c r="A50" s="57">
        <v>44</v>
      </c>
      <c r="B50" s="58" t="s">
        <v>225</v>
      </c>
      <c r="C50" s="99">
        <v>19</v>
      </c>
      <c r="D50" s="99">
        <v>54</v>
      </c>
      <c r="E50" s="99">
        <v>0</v>
      </c>
      <c r="F50" s="99">
        <v>0</v>
      </c>
      <c r="G50" s="100">
        <f t="shared" si="5"/>
        <v>0</v>
      </c>
      <c r="H50" s="99">
        <v>14</v>
      </c>
      <c r="I50" s="99">
        <v>5</v>
      </c>
      <c r="J50" s="99">
        <v>0</v>
      </c>
      <c r="K50" s="99">
        <v>0</v>
      </c>
      <c r="L50" s="100">
        <f t="shared" si="0"/>
        <v>0</v>
      </c>
      <c r="M50" s="99">
        <v>32</v>
      </c>
      <c r="N50" s="99">
        <v>1020</v>
      </c>
      <c r="O50" s="99">
        <f>H50+C50+'ACP_PS_11(i)'!M50+'ACP_PS_11(i)'!H50+'ACP_PS_11(i)'!C50+ACP_MSME_10!C50+'ACP_Agri_9(ii)'!M50</f>
        <v>231</v>
      </c>
      <c r="P50" s="99">
        <f>I50+D50+'ACP_PS_11(i)'!N50+'ACP_PS_11(i)'!I50+'ACP_PS_11(i)'!D50+ACP_MSME_10!D50+'ACP_Agri_9(ii)'!N50</f>
        <v>1114</v>
      </c>
      <c r="Q50" s="99">
        <f>M50+J50+E50+'ACP_PS_11(i)'!O50+'ACP_PS_11(i)'!J50+'ACP_PS_11(i)'!E50+ACP_MSME_10!O50+'ACP_Agri_9(ii)'!O50</f>
        <v>42</v>
      </c>
      <c r="R50" s="99">
        <f>N50+K50+F50+'ACP_PS_11(i)'!P50+'ACP_PS_11(i)'!K50+'ACP_PS_11(i)'!F50+ACP_MSME_10!P50+'ACP_Agri_9(ii)'!P50</f>
        <v>1217</v>
      </c>
      <c r="S50" s="100">
        <f t="shared" si="1"/>
        <v>109.24596050269299</v>
      </c>
    </row>
    <row r="51" spans="1:21" x14ac:dyDescent="0.2">
      <c r="A51" s="57">
        <v>45</v>
      </c>
      <c r="B51" s="58" t="s">
        <v>226</v>
      </c>
      <c r="C51" s="99">
        <v>32</v>
      </c>
      <c r="D51" s="99">
        <v>165</v>
      </c>
      <c r="E51" s="99">
        <v>0</v>
      </c>
      <c r="F51" s="99">
        <v>0</v>
      </c>
      <c r="G51" s="100">
        <f t="shared" si="5"/>
        <v>0</v>
      </c>
      <c r="H51" s="99">
        <v>12</v>
      </c>
      <c r="I51" s="99">
        <v>4</v>
      </c>
      <c r="J51" s="99">
        <v>0</v>
      </c>
      <c r="K51" s="99">
        <v>0</v>
      </c>
      <c r="L51" s="100">
        <f t="shared" si="0"/>
        <v>0</v>
      </c>
      <c r="M51" s="99">
        <v>70751</v>
      </c>
      <c r="N51" s="99">
        <v>16299</v>
      </c>
      <c r="O51" s="99">
        <f>H51+C51+'ACP_PS_11(i)'!M51+'ACP_PS_11(i)'!H51+'ACP_PS_11(i)'!C51+ACP_MSME_10!C51+'ACP_Agri_9(ii)'!M51</f>
        <v>719</v>
      </c>
      <c r="P51" s="99">
        <f>I51+D51+'ACP_PS_11(i)'!N51+'ACP_PS_11(i)'!I51+'ACP_PS_11(i)'!D51+ACP_MSME_10!D51+'ACP_Agri_9(ii)'!N51</f>
        <v>1935.51</v>
      </c>
      <c r="Q51" s="99">
        <f>M51+J51+E51+'ACP_PS_11(i)'!O51+'ACP_PS_11(i)'!J51+'ACP_PS_11(i)'!E51+ACP_MSME_10!O51+'ACP_Agri_9(ii)'!O51</f>
        <v>75180</v>
      </c>
      <c r="R51" s="99">
        <f>N51+K51+F51+'ACP_PS_11(i)'!P51+'ACP_PS_11(i)'!K51+'ACP_PS_11(i)'!F51+ACP_MSME_10!P51+'ACP_Agri_9(ii)'!P51</f>
        <v>38349</v>
      </c>
      <c r="S51" s="100">
        <f t="shared" si="1"/>
        <v>1981.3382519335989</v>
      </c>
    </row>
    <row r="52" spans="1:21" s="108" customFormat="1" x14ac:dyDescent="0.2">
      <c r="A52" s="57">
        <v>46</v>
      </c>
      <c r="B52" s="58" t="s">
        <v>227</v>
      </c>
      <c r="C52" s="99">
        <v>63</v>
      </c>
      <c r="D52" s="99">
        <v>167</v>
      </c>
      <c r="E52" s="99">
        <v>0</v>
      </c>
      <c r="F52" s="99">
        <v>0</v>
      </c>
      <c r="G52" s="100">
        <f t="shared" si="5"/>
        <v>0</v>
      </c>
      <c r="H52" s="99">
        <v>12</v>
      </c>
      <c r="I52" s="99">
        <v>32</v>
      </c>
      <c r="J52" s="99">
        <v>0</v>
      </c>
      <c r="K52" s="99">
        <v>0</v>
      </c>
      <c r="L52" s="100">
        <f t="shared" si="0"/>
        <v>0</v>
      </c>
      <c r="M52" s="99">
        <v>0</v>
      </c>
      <c r="N52" s="99">
        <v>0</v>
      </c>
      <c r="O52" s="99">
        <f>H52+C52+'ACP_PS_11(i)'!M52+'ACP_PS_11(i)'!H52+'ACP_PS_11(i)'!C52+ACP_MSME_10!C52+'ACP_Agri_9(ii)'!M52</f>
        <v>593</v>
      </c>
      <c r="P52" s="99">
        <f>I52+D52+'ACP_PS_11(i)'!N52+'ACP_PS_11(i)'!I52+'ACP_PS_11(i)'!D52+ACP_MSME_10!D52+'ACP_Agri_9(ii)'!N52</f>
        <v>2565.06</v>
      </c>
      <c r="Q52" s="99">
        <f>M52+J52+E52+'ACP_PS_11(i)'!O52+'ACP_PS_11(i)'!J52+'ACP_PS_11(i)'!E52+ACP_MSME_10!O52+'ACP_Agri_9(ii)'!O52</f>
        <v>0</v>
      </c>
      <c r="R52" s="99">
        <f>N52+K52+F52+'ACP_PS_11(i)'!P52+'ACP_PS_11(i)'!K52+'ACP_PS_11(i)'!F52+ACP_MSME_10!P52+'ACP_Agri_9(ii)'!P52</f>
        <v>0</v>
      </c>
      <c r="S52" s="100">
        <f t="shared" si="1"/>
        <v>0</v>
      </c>
      <c r="T52" s="111"/>
      <c r="U52" s="111"/>
    </row>
    <row r="53" spans="1:21" x14ac:dyDescent="0.2">
      <c r="A53" s="57">
        <v>47</v>
      </c>
      <c r="B53" s="58" t="s">
        <v>77</v>
      </c>
      <c r="C53" s="99">
        <v>0</v>
      </c>
      <c r="D53" s="99">
        <v>0</v>
      </c>
      <c r="E53" s="99">
        <v>0</v>
      </c>
      <c r="F53" s="99">
        <v>0</v>
      </c>
      <c r="G53" s="100">
        <v>0</v>
      </c>
      <c r="H53" s="99">
        <v>0</v>
      </c>
      <c r="I53" s="99">
        <v>0</v>
      </c>
      <c r="J53" s="99">
        <v>0</v>
      </c>
      <c r="K53" s="99">
        <v>0</v>
      </c>
      <c r="L53" s="100">
        <v>0</v>
      </c>
      <c r="M53" s="99">
        <v>0</v>
      </c>
      <c r="N53" s="99">
        <v>0</v>
      </c>
      <c r="O53" s="99">
        <f>H53+C53+'ACP_PS_11(i)'!M53+'ACP_PS_11(i)'!H53+'ACP_PS_11(i)'!C53+ACP_MSME_10!C53+'ACP_Agri_9(ii)'!M53</f>
        <v>0</v>
      </c>
      <c r="P53" s="99">
        <f>I53+D53+'ACP_PS_11(i)'!N53+'ACP_PS_11(i)'!I53+'ACP_PS_11(i)'!D53+ACP_MSME_10!D53+'ACP_Agri_9(ii)'!N53</f>
        <v>0</v>
      </c>
      <c r="Q53" s="99">
        <f>M53+J53+E53+'ACP_PS_11(i)'!O53+'ACP_PS_11(i)'!J53+'ACP_PS_11(i)'!E53+ACP_MSME_10!O53+'ACP_Agri_9(ii)'!O53</f>
        <v>0</v>
      </c>
      <c r="R53" s="99">
        <f>N53+K53+F53+'ACP_PS_11(i)'!P53+'ACP_PS_11(i)'!K53+'ACP_PS_11(i)'!F53+ACP_MSME_10!P53+'ACP_Agri_9(ii)'!P53</f>
        <v>0</v>
      </c>
      <c r="S53" s="100">
        <v>0</v>
      </c>
    </row>
    <row r="54" spans="1:21" x14ac:dyDescent="0.2">
      <c r="A54" s="57">
        <v>48</v>
      </c>
      <c r="B54" s="58" t="s">
        <v>228</v>
      </c>
      <c r="C54" s="99">
        <v>0</v>
      </c>
      <c r="D54" s="99">
        <v>0</v>
      </c>
      <c r="E54" s="99">
        <v>0</v>
      </c>
      <c r="F54" s="99">
        <v>0</v>
      </c>
      <c r="G54" s="100">
        <v>0</v>
      </c>
      <c r="H54" s="99">
        <v>0</v>
      </c>
      <c r="I54" s="99">
        <v>0</v>
      </c>
      <c r="J54" s="99">
        <v>0</v>
      </c>
      <c r="K54" s="99">
        <v>0</v>
      </c>
      <c r="L54" s="100">
        <v>0</v>
      </c>
      <c r="M54" s="99">
        <v>0</v>
      </c>
      <c r="N54" s="99">
        <v>0</v>
      </c>
      <c r="O54" s="99">
        <f>H54+C54+'ACP_PS_11(i)'!M54+'ACP_PS_11(i)'!H54+'ACP_PS_11(i)'!C54+ACP_MSME_10!C54+'ACP_Agri_9(ii)'!M54</f>
        <v>0</v>
      </c>
      <c r="P54" s="99">
        <f>I54+D54+'ACP_PS_11(i)'!N54+'ACP_PS_11(i)'!I54+'ACP_PS_11(i)'!D54+ACP_MSME_10!D54+'ACP_Agri_9(ii)'!N54</f>
        <v>0</v>
      </c>
      <c r="Q54" s="99">
        <f>M54+J54+E54+'ACP_PS_11(i)'!O54+'ACP_PS_11(i)'!J54+'ACP_PS_11(i)'!E54+ACP_MSME_10!O54+'ACP_Agri_9(ii)'!O54</f>
        <v>0</v>
      </c>
      <c r="R54" s="99">
        <f>N54+K54+F54+'ACP_PS_11(i)'!P54+'ACP_PS_11(i)'!K54+'ACP_PS_11(i)'!F54+ACP_MSME_10!P54+'ACP_Agri_9(ii)'!P54</f>
        <v>0</v>
      </c>
      <c r="S54" s="100">
        <v>0</v>
      </c>
    </row>
    <row r="55" spans="1:21" x14ac:dyDescent="0.2">
      <c r="A55" s="57">
        <v>49</v>
      </c>
      <c r="B55" s="58" t="s">
        <v>76</v>
      </c>
      <c r="C55" s="99">
        <v>104</v>
      </c>
      <c r="D55" s="99">
        <v>626</v>
      </c>
      <c r="E55" s="99">
        <v>0</v>
      </c>
      <c r="F55" s="99">
        <v>0</v>
      </c>
      <c r="G55" s="100">
        <f t="shared" ref="G55:G63" si="6">F55*100/D55</f>
        <v>0</v>
      </c>
      <c r="H55" s="99">
        <v>14</v>
      </c>
      <c r="I55" s="99">
        <v>63</v>
      </c>
      <c r="J55" s="99">
        <v>0</v>
      </c>
      <c r="K55" s="99">
        <v>0</v>
      </c>
      <c r="L55" s="100">
        <f t="shared" si="0"/>
        <v>0</v>
      </c>
      <c r="M55" s="99">
        <v>3</v>
      </c>
      <c r="N55" s="99">
        <v>0.76</v>
      </c>
      <c r="O55" s="99">
        <f>H55+C55+'ACP_PS_11(i)'!M55+'ACP_PS_11(i)'!H55+'ACP_PS_11(i)'!C55+ACP_MSME_10!C55+'ACP_Agri_9(ii)'!M55</f>
        <v>2728</v>
      </c>
      <c r="P55" s="99">
        <f>I55+D55+'ACP_PS_11(i)'!N55+'ACP_PS_11(i)'!I55+'ACP_PS_11(i)'!D55+ACP_MSME_10!D55+'ACP_Agri_9(ii)'!N55</f>
        <v>10184.06</v>
      </c>
      <c r="Q55" s="99">
        <f>M55+J55+E55+'ACP_PS_11(i)'!O55+'ACP_PS_11(i)'!J55+'ACP_PS_11(i)'!E55+ACP_MSME_10!O55+'ACP_Agri_9(ii)'!O55</f>
        <v>2689</v>
      </c>
      <c r="R55" s="99">
        <f>N55+K55+F55+'ACP_PS_11(i)'!P55+'ACP_PS_11(i)'!K55+'ACP_PS_11(i)'!F55+ACP_MSME_10!P55+'ACP_Agri_9(ii)'!P55</f>
        <v>9435.76</v>
      </c>
      <c r="S55" s="100">
        <f t="shared" si="1"/>
        <v>92.652242818679397</v>
      </c>
    </row>
    <row r="56" spans="1:21" s="108" customFormat="1" x14ac:dyDescent="0.2">
      <c r="A56" s="356"/>
      <c r="B56" s="60" t="s">
        <v>289</v>
      </c>
      <c r="C56" s="106">
        <f>SUM(C34:C55)</f>
        <v>17748</v>
      </c>
      <c r="D56" s="106">
        <f t="shared" ref="D56:N56" si="7">SUM(D34:D55)</f>
        <v>35307</v>
      </c>
      <c r="E56" s="106">
        <f t="shared" si="7"/>
        <v>0</v>
      </c>
      <c r="F56" s="106">
        <f t="shared" si="7"/>
        <v>0</v>
      </c>
      <c r="G56" s="97">
        <f t="shared" si="6"/>
        <v>0</v>
      </c>
      <c r="H56" s="106">
        <f t="shared" si="7"/>
        <v>448</v>
      </c>
      <c r="I56" s="106">
        <f t="shared" si="7"/>
        <v>2587</v>
      </c>
      <c r="J56" s="106">
        <f t="shared" si="7"/>
        <v>1</v>
      </c>
      <c r="K56" s="106">
        <f t="shared" si="7"/>
        <v>1071</v>
      </c>
      <c r="L56" s="97">
        <f t="shared" si="0"/>
        <v>41.399304213374563</v>
      </c>
      <c r="M56" s="106">
        <f t="shared" si="7"/>
        <v>120153</v>
      </c>
      <c r="N56" s="106">
        <f t="shared" si="7"/>
        <v>26820.079999999998</v>
      </c>
      <c r="O56" s="106">
        <f>H56+C56+'ACP_PS_11(i)'!M56+'ACP_PS_11(i)'!H56+'ACP_PS_11(i)'!C56+ACP_MSME_10!C56+'ACP_Agri_9(ii)'!M56</f>
        <v>182144</v>
      </c>
      <c r="P56" s="106">
        <f>I56+D56+'ACP_PS_11(i)'!N56+'ACP_PS_11(i)'!I56+'ACP_PS_11(i)'!D56+ACP_MSME_10!D56+'ACP_Agri_9(ii)'!N56</f>
        <v>683023.86</v>
      </c>
      <c r="Q56" s="106">
        <f>M56+J56+E56+'ACP_PS_11(i)'!O56+'ACP_PS_11(i)'!J56+'ACP_PS_11(i)'!E56+ACP_MSME_10!O56+'ACP_Agri_9(ii)'!O56</f>
        <v>493965</v>
      </c>
      <c r="R56" s="106">
        <f>N56+K56+F56+'ACP_PS_11(i)'!P56+'ACP_PS_11(i)'!K56+'ACP_PS_11(i)'!F56+ACP_MSME_10!P56+'ACP_Agri_9(ii)'!P56</f>
        <v>862761.69</v>
      </c>
      <c r="S56" s="97">
        <f t="shared" si="1"/>
        <v>126.31501482246901</v>
      </c>
      <c r="T56" s="111"/>
      <c r="U56" s="111"/>
    </row>
    <row r="57" spans="1:21" x14ac:dyDescent="0.2">
      <c r="A57" s="57">
        <v>50</v>
      </c>
      <c r="B57" s="58" t="s">
        <v>46</v>
      </c>
      <c r="C57" s="99">
        <v>9901</v>
      </c>
      <c r="D57" s="99">
        <v>18066</v>
      </c>
      <c r="E57" s="99">
        <v>0</v>
      </c>
      <c r="F57" s="99">
        <v>0</v>
      </c>
      <c r="G57" s="100">
        <f t="shared" si="6"/>
        <v>0</v>
      </c>
      <c r="H57" s="99">
        <v>129</v>
      </c>
      <c r="I57" s="99">
        <v>386</v>
      </c>
      <c r="J57" s="99">
        <v>1</v>
      </c>
      <c r="K57" s="99">
        <v>0.5</v>
      </c>
      <c r="L57" s="100">
        <f t="shared" si="0"/>
        <v>0.12953367875647667</v>
      </c>
      <c r="M57" s="99">
        <v>808</v>
      </c>
      <c r="N57" s="99">
        <v>693.02</v>
      </c>
      <c r="O57" s="99">
        <f>H57+C57+'ACP_PS_11(i)'!M57+'ACP_PS_11(i)'!H57+'ACP_PS_11(i)'!C57+ACP_MSME_10!C57+'ACP_Agri_9(ii)'!M57</f>
        <v>109306</v>
      </c>
      <c r="P57" s="99">
        <f>I57+D57+'ACP_PS_11(i)'!N57+'ACP_PS_11(i)'!I57+'ACP_PS_11(i)'!D57+ACP_MSME_10!D57+'ACP_Agri_9(ii)'!N57</f>
        <v>359955.48</v>
      </c>
      <c r="Q57" s="99">
        <f>M57+J57+E57+'ACP_PS_11(i)'!O57+'ACP_PS_11(i)'!J57+'ACP_PS_11(i)'!E57+ACP_MSME_10!O57+'ACP_Agri_9(ii)'!O57</f>
        <v>107070</v>
      </c>
      <c r="R57" s="99">
        <f>N57+K57+F57+'ACP_PS_11(i)'!P57+'ACP_PS_11(i)'!K57+'ACP_PS_11(i)'!F57+ACP_MSME_10!P57+'ACP_Agri_9(ii)'!P57</f>
        <v>122103.36</v>
      </c>
      <c r="S57" s="100">
        <f t="shared" si="1"/>
        <v>33.921794995314421</v>
      </c>
    </row>
    <row r="58" spans="1:21" s="108" customFormat="1" x14ac:dyDescent="0.2">
      <c r="A58" s="57">
        <v>51</v>
      </c>
      <c r="B58" s="58" t="s">
        <v>229</v>
      </c>
      <c r="C58" s="99">
        <v>3288</v>
      </c>
      <c r="D58" s="99">
        <v>3337</v>
      </c>
      <c r="E58" s="99">
        <v>0</v>
      </c>
      <c r="F58" s="99">
        <v>0</v>
      </c>
      <c r="G58" s="100">
        <f t="shared" si="6"/>
        <v>0</v>
      </c>
      <c r="H58" s="99">
        <v>111</v>
      </c>
      <c r="I58" s="99">
        <v>325</v>
      </c>
      <c r="J58" s="99">
        <v>48</v>
      </c>
      <c r="K58" s="99">
        <v>11</v>
      </c>
      <c r="L58" s="100">
        <f t="shared" si="0"/>
        <v>3.3846153846153846</v>
      </c>
      <c r="M58" s="99">
        <v>76519</v>
      </c>
      <c r="N58" s="99">
        <v>4626</v>
      </c>
      <c r="O58" s="99">
        <f>H58+C58+'ACP_PS_11(i)'!M58+'ACP_PS_11(i)'!H58+'ACP_PS_11(i)'!C58+ACP_MSME_10!C58+'ACP_Agri_9(ii)'!M58</f>
        <v>167740</v>
      </c>
      <c r="P58" s="99">
        <f>I58+D58+'ACP_PS_11(i)'!N58+'ACP_PS_11(i)'!I58+'ACP_PS_11(i)'!D58+ACP_MSME_10!D58+'ACP_Agri_9(ii)'!N58</f>
        <v>326277.7</v>
      </c>
      <c r="Q58" s="99">
        <f>M58+J58+E58+'ACP_PS_11(i)'!O58+'ACP_PS_11(i)'!J58+'ACP_PS_11(i)'!E58+ACP_MSME_10!O58+'ACP_Agri_9(ii)'!O58</f>
        <v>263690</v>
      </c>
      <c r="R58" s="99">
        <f>N58+K58+F58+'ACP_PS_11(i)'!P58+'ACP_PS_11(i)'!K58+'ACP_PS_11(i)'!F58+ACP_MSME_10!P58+'ACP_Agri_9(ii)'!P58</f>
        <v>93862</v>
      </c>
      <c r="S58" s="100">
        <f t="shared" si="1"/>
        <v>28.767519202201068</v>
      </c>
      <c r="T58" s="111"/>
      <c r="U58" s="111"/>
    </row>
    <row r="59" spans="1:21" s="108" customFormat="1" x14ac:dyDescent="0.2">
      <c r="A59" s="57">
        <v>52</v>
      </c>
      <c r="B59" s="58" t="s">
        <v>52</v>
      </c>
      <c r="C59" s="99">
        <v>6141</v>
      </c>
      <c r="D59" s="99">
        <v>11237</v>
      </c>
      <c r="E59" s="99">
        <v>0</v>
      </c>
      <c r="F59" s="99">
        <v>0</v>
      </c>
      <c r="G59" s="100">
        <f t="shared" si="6"/>
        <v>0</v>
      </c>
      <c r="H59" s="99">
        <v>284</v>
      </c>
      <c r="I59" s="99">
        <v>693</v>
      </c>
      <c r="J59" s="99">
        <v>0</v>
      </c>
      <c r="K59" s="99">
        <v>0</v>
      </c>
      <c r="L59" s="100">
        <f t="shared" si="0"/>
        <v>0</v>
      </c>
      <c r="M59" s="99">
        <v>0</v>
      </c>
      <c r="N59" s="99">
        <v>0</v>
      </c>
      <c r="O59" s="99">
        <f>H59+C59+'ACP_PS_11(i)'!M59+'ACP_PS_11(i)'!H59+'ACP_PS_11(i)'!C59+ACP_MSME_10!C59+'ACP_Agri_9(ii)'!M59</f>
        <v>136956.042837079</v>
      </c>
      <c r="P59" s="99">
        <f>I59+D59+'ACP_PS_11(i)'!N59+'ACP_PS_11(i)'!I59+'ACP_PS_11(i)'!D59+ACP_MSME_10!D59+'ACP_Agri_9(ii)'!N59</f>
        <v>487635.97</v>
      </c>
      <c r="Q59" s="99">
        <f>M59+J59+E59+'ACP_PS_11(i)'!O59+'ACP_PS_11(i)'!J59+'ACP_PS_11(i)'!E59+ACP_MSME_10!O59+'ACP_Agri_9(ii)'!O59</f>
        <v>19475</v>
      </c>
      <c r="R59" s="99">
        <f>N59+K59+F59+'ACP_PS_11(i)'!P59+'ACP_PS_11(i)'!K59+'ACP_PS_11(i)'!F59+ACP_MSME_10!P59+'ACP_Agri_9(ii)'!P59</f>
        <v>205383.47</v>
      </c>
      <c r="S59" s="100">
        <f t="shared" si="1"/>
        <v>42.118195259467839</v>
      </c>
      <c r="T59" s="111"/>
      <c r="U59" s="111"/>
    </row>
    <row r="60" spans="1:21" s="108" customFormat="1" x14ac:dyDescent="0.2">
      <c r="A60" s="356"/>
      <c r="B60" s="60" t="s">
        <v>295</v>
      </c>
      <c r="C60" s="106">
        <f>SUM(C57:C59)</f>
        <v>19330</v>
      </c>
      <c r="D60" s="106">
        <f t="shared" ref="D60:N60" si="8">SUM(D57:D59)</f>
        <v>32640</v>
      </c>
      <c r="E60" s="106">
        <f t="shared" si="8"/>
        <v>0</v>
      </c>
      <c r="F60" s="106">
        <f t="shared" si="8"/>
        <v>0</v>
      </c>
      <c r="G60" s="97">
        <f t="shared" si="6"/>
        <v>0</v>
      </c>
      <c r="H60" s="106">
        <f t="shared" si="8"/>
        <v>524</v>
      </c>
      <c r="I60" s="106">
        <f t="shared" si="8"/>
        <v>1404</v>
      </c>
      <c r="J60" s="106">
        <f t="shared" si="8"/>
        <v>49</v>
      </c>
      <c r="K60" s="106">
        <f t="shared" si="8"/>
        <v>11.5</v>
      </c>
      <c r="L60" s="97">
        <f t="shared" si="0"/>
        <v>0.81908831908831914</v>
      </c>
      <c r="M60" s="106">
        <f t="shared" si="8"/>
        <v>77327</v>
      </c>
      <c r="N60" s="106">
        <f t="shared" si="8"/>
        <v>5319.02</v>
      </c>
      <c r="O60" s="106">
        <f>H60+C60+'ACP_PS_11(i)'!M60+'ACP_PS_11(i)'!H60+'ACP_PS_11(i)'!C60+ACP_MSME_10!C60+'ACP_Agri_9(ii)'!M60</f>
        <v>414002.04283707903</v>
      </c>
      <c r="P60" s="106">
        <f>I60+D60+'ACP_PS_11(i)'!N60+'ACP_PS_11(i)'!I60+'ACP_PS_11(i)'!D60+ACP_MSME_10!D60+'ACP_Agri_9(ii)'!N60</f>
        <v>1173869.1499999999</v>
      </c>
      <c r="Q60" s="106">
        <f>M60+J60+E60+'ACP_PS_11(i)'!O60+'ACP_PS_11(i)'!J60+'ACP_PS_11(i)'!E60+ACP_MSME_10!O60+'ACP_Agri_9(ii)'!O60</f>
        <v>390235</v>
      </c>
      <c r="R60" s="106">
        <f>N60+K60+F60+'ACP_PS_11(i)'!P60+'ACP_PS_11(i)'!K60+'ACP_PS_11(i)'!F60+ACP_MSME_10!P60+'ACP_Agri_9(ii)'!P60</f>
        <v>421348.83</v>
      </c>
      <c r="S60" s="97">
        <f t="shared" si="1"/>
        <v>35.89402021511512</v>
      </c>
      <c r="T60" s="111"/>
      <c r="U60" s="111"/>
    </row>
    <row r="61" spans="1:21" x14ac:dyDescent="0.2">
      <c r="A61" s="57">
        <v>53</v>
      </c>
      <c r="B61" s="58" t="s">
        <v>290</v>
      </c>
      <c r="C61" s="99">
        <v>9670</v>
      </c>
      <c r="D61" s="99">
        <v>5919</v>
      </c>
      <c r="E61" s="99">
        <v>0</v>
      </c>
      <c r="F61" s="99">
        <v>0</v>
      </c>
      <c r="G61" s="100">
        <f t="shared" si="6"/>
        <v>0</v>
      </c>
      <c r="H61" s="99">
        <v>0</v>
      </c>
      <c r="I61" s="99">
        <v>0</v>
      </c>
      <c r="J61" s="99">
        <v>0</v>
      </c>
      <c r="K61" s="99">
        <v>0</v>
      </c>
      <c r="L61" s="100">
        <v>0</v>
      </c>
      <c r="M61" s="99">
        <v>0</v>
      </c>
      <c r="N61" s="99">
        <v>167197</v>
      </c>
      <c r="O61" s="99">
        <f>H61+C61+'ACP_PS_11(i)'!M61+'ACP_PS_11(i)'!H61+'ACP_PS_11(i)'!C61+ACP_MSME_10!C61+'ACP_Agri_9(ii)'!M61</f>
        <v>748449</v>
      </c>
      <c r="P61" s="99">
        <f>I61+D61+'ACP_PS_11(i)'!N61+'ACP_PS_11(i)'!I61+'ACP_PS_11(i)'!D61+ACP_MSME_10!D61+'ACP_Agri_9(ii)'!N61</f>
        <v>2275966.9900000002</v>
      </c>
      <c r="Q61" s="99">
        <f>M61+J61+E61+'ACP_PS_11(i)'!O61+'ACP_PS_11(i)'!J61+'ACP_PS_11(i)'!E61+ACP_MSME_10!O61+'ACP_Agri_9(ii)'!O61</f>
        <v>773101</v>
      </c>
      <c r="R61" s="99">
        <f>N61+K61+F61+'ACP_PS_11(i)'!P61+'ACP_PS_11(i)'!K61+'ACP_PS_11(i)'!F61+ACP_MSME_10!P61+'ACP_Agri_9(ii)'!P61</f>
        <v>1256328</v>
      </c>
      <c r="S61" s="100">
        <f t="shared" si="1"/>
        <v>55.199746108795715</v>
      </c>
    </row>
    <row r="62" spans="1:21" s="108" customFormat="1" x14ac:dyDescent="0.2">
      <c r="A62" s="356"/>
      <c r="B62" s="60" t="s">
        <v>291</v>
      </c>
      <c r="C62" s="106">
        <f>C61</f>
        <v>9670</v>
      </c>
      <c r="D62" s="106">
        <f t="shared" ref="D62:N62" si="9">D61</f>
        <v>5919</v>
      </c>
      <c r="E62" s="106">
        <f t="shared" si="9"/>
        <v>0</v>
      </c>
      <c r="F62" s="106">
        <f t="shared" si="9"/>
        <v>0</v>
      </c>
      <c r="G62" s="97">
        <f t="shared" si="6"/>
        <v>0</v>
      </c>
      <c r="H62" s="106">
        <f t="shared" si="9"/>
        <v>0</v>
      </c>
      <c r="I62" s="106">
        <f t="shared" si="9"/>
        <v>0</v>
      </c>
      <c r="J62" s="106">
        <f t="shared" si="9"/>
        <v>0</v>
      </c>
      <c r="K62" s="106">
        <f t="shared" si="9"/>
        <v>0</v>
      </c>
      <c r="L62" s="97">
        <v>0</v>
      </c>
      <c r="M62" s="106">
        <f t="shared" si="9"/>
        <v>0</v>
      </c>
      <c r="N62" s="106">
        <f t="shared" si="9"/>
        <v>167197</v>
      </c>
      <c r="O62" s="106">
        <f>H62+C62+'ACP_PS_11(i)'!M62+'ACP_PS_11(i)'!H62+'ACP_PS_11(i)'!C62+ACP_MSME_10!C62+'ACP_Agri_9(ii)'!M62</f>
        <v>748449</v>
      </c>
      <c r="P62" s="106">
        <f>I62+D62+'ACP_PS_11(i)'!N62+'ACP_PS_11(i)'!I62+'ACP_PS_11(i)'!D62+ACP_MSME_10!D62+'ACP_Agri_9(ii)'!N62</f>
        <v>2275966.9900000002</v>
      </c>
      <c r="Q62" s="99">
        <f>M62+J62+E62+'ACP_PS_11(i)'!O62+'ACP_PS_11(i)'!J62+'ACP_PS_11(i)'!E62+ACP_MSME_10!O62+'ACP_Agri_9(ii)'!O62</f>
        <v>773101</v>
      </c>
      <c r="R62" s="99">
        <f>N62+K62+F62+'ACP_PS_11(i)'!P62+'ACP_PS_11(i)'!K62+'ACP_PS_11(i)'!F62+ACP_MSME_10!P62+'ACP_Agri_9(ii)'!P62</f>
        <v>1256328</v>
      </c>
      <c r="S62" s="97">
        <f t="shared" si="1"/>
        <v>55.199746108795715</v>
      </c>
      <c r="T62" s="111"/>
      <c r="U62" s="111"/>
    </row>
    <row r="63" spans="1:21" s="108" customFormat="1" x14ac:dyDescent="0.2">
      <c r="A63" s="356"/>
      <c r="B63" s="60" t="s">
        <v>292</v>
      </c>
      <c r="C63" s="106">
        <f>C62+C60+C56+C33</f>
        <v>220178</v>
      </c>
      <c r="D63" s="106">
        <f t="shared" ref="D63:N63" si="10">D62+D60+D56+D33</f>
        <v>391420</v>
      </c>
      <c r="E63" s="106">
        <f t="shared" si="10"/>
        <v>434</v>
      </c>
      <c r="F63" s="106">
        <f t="shared" si="10"/>
        <v>1992.35</v>
      </c>
      <c r="G63" s="97">
        <f t="shared" si="6"/>
        <v>0.50900567165704358</v>
      </c>
      <c r="H63" s="106">
        <f t="shared" si="10"/>
        <v>5277</v>
      </c>
      <c r="I63" s="106">
        <f t="shared" si="10"/>
        <v>27077</v>
      </c>
      <c r="J63" s="106">
        <f t="shared" si="10"/>
        <v>98</v>
      </c>
      <c r="K63" s="106">
        <f t="shared" si="10"/>
        <v>1576.02</v>
      </c>
      <c r="L63" s="97">
        <f t="shared" si="0"/>
        <v>5.8205118735458141</v>
      </c>
      <c r="M63" s="106">
        <f t="shared" si="10"/>
        <v>257513</v>
      </c>
      <c r="N63" s="106">
        <f t="shared" si="10"/>
        <v>264584.77999999997</v>
      </c>
      <c r="O63" s="106">
        <f>H63+C63+'ACP_PS_11(i)'!M63+'ACP_PS_11(i)'!H63+'ACP_PS_11(i)'!C63+ACP_MSME_10!C63+'ACP_Agri_9(ii)'!M63</f>
        <v>3424775.0428370791</v>
      </c>
      <c r="P63" s="106">
        <f>I63+D63+'ACP_PS_11(i)'!N63+'ACP_PS_11(i)'!I63+'ACP_PS_11(i)'!D63+ACP_MSME_10!D63+'ACP_Agri_9(ii)'!N63</f>
        <v>10910445.26</v>
      </c>
      <c r="Q63" s="106">
        <f>M63+J63+E63+'ACP_PS_11(i)'!O63+'ACP_PS_11(i)'!J63+'ACP_PS_11(i)'!E63+ACP_MSME_10!O63+'ACP_Agri_9(ii)'!O63</f>
        <v>3180153</v>
      </c>
      <c r="R63" s="106">
        <f>N63+K63+F63+'ACP_PS_11(i)'!P63+'ACP_PS_11(i)'!K63+'ACP_PS_11(i)'!F63+ACP_MSME_10!P63+'ACP_Agri_9(ii)'!P63</f>
        <v>6129707.6699999999</v>
      </c>
      <c r="S63" s="97">
        <f t="shared" si="1"/>
        <v>56.182012043750447</v>
      </c>
      <c r="T63" s="111"/>
      <c r="U63" s="111"/>
    </row>
    <row r="64" spans="1:21" x14ac:dyDescent="0.2">
      <c r="A64" s="61"/>
      <c r="D64" s="111" t="s">
        <v>1223</v>
      </c>
      <c r="O64" s="156"/>
      <c r="P64" s="156"/>
    </row>
    <row r="67" spans="14:18" x14ac:dyDescent="0.2">
      <c r="Q67" s="111"/>
      <c r="R67" s="111"/>
    </row>
    <row r="68" spans="14:18" x14ac:dyDescent="0.2">
      <c r="N68" s="111" t="s">
        <v>458</v>
      </c>
    </row>
  </sheetData>
  <mergeCells count="17">
    <mergeCell ref="A1:R1"/>
    <mergeCell ref="A3:A5"/>
    <mergeCell ref="B3:B5"/>
    <mergeCell ref="C3:F3"/>
    <mergeCell ref="Q4:R4"/>
    <mergeCell ref="H3:K3"/>
    <mergeCell ref="H4:I4"/>
    <mergeCell ref="S3:S5"/>
    <mergeCell ref="C4:D4"/>
    <mergeCell ref="E4:F4"/>
    <mergeCell ref="J4:K4"/>
    <mergeCell ref="M4:N4"/>
    <mergeCell ref="M3:N3"/>
    <mergeCell ref="O3:R3"/>
    <mergeCell ref="O4:P4"/>
    <mergeCell ref="G3:G5"/>
    <mergeCell ref="L3:L5"/>
  </mergeCells>
  <conditionalFormatting sqref="B6">
    <cfRule type="duplicateValues" dxfId="112" priority="4"/>
  </conditionalFormatting>
  <conditionalFormatting sqref="B22">
    <cfRule type="duplicateValues" dxfId="111" priority="5"/>
  </conditionalFormatting>
  <conditionalFormatting sqref="B33:B34 B26:B30">
    <cfRule type="duplicateValues" dxfId="110" priority="6"/>
  </conditionalFormatting>
  <conditionalFormatting sqref="B52">
    <cfRule type="duplicateValues" dxfId="109" priority="7"/>
  </conditionalFormatting>
  <conditionalFormatting sqref="B56">
    <cfRule type="duplicateValues" dxfId="108" priority="8"/>
  </conditionalFormatting>
  <conditionalFormatting sqref="B58">
    <cfRule type="duplicateValues" dxfId="107" priority="9"/>
  </conditionalFormatting>
  <conditionalFormatting sqref="S1:S1048576">
    <cfRule type="cellIs" dxfId="106" priority="3" stopIfTrue="1" operator="greaterThan">
      <formula>100</formula>
    </cfRule>
  </conditionalFormatting>
  <conditionalFormatting sqref="U1:U1048576">
    <cfRule type="cellIs" dxfId="105" priority="2" stopIfTrue="1" operator="lessThan">
      <formula>0</formula>
    </cfRule>
  </conditionalFormatting>
  <pageMargins left="1.75" right="0.2" top="0.25" bottom="0.25" header="0.3" footer="0.3"/>
  <pageSetup paperSize="9"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74"/>
  <sheetViews>
    <sheetView view="pageBreakPreview" zoomScale="60" zoomScaleNormal="100" workbookViewId="0">
      <pane xSplit="2" ySplit="7" topLeftCell="C38" activePane="bottomRight" state="frozen"/>
      <selection pane="topRight" activeCell="C1" sqref="C1"/>
      <selection pane="bottomLeft" activeCell="A7" sqref="A7"/>
      <selection pane="bottomRight" activeCell="A65" sqref="A65:XFD67"/>
    </sheetView>
  </sheetViews>
  <sheetFormatPr defaultColWidth="4.42578125" defaultRowHeight="13.5" x14ac:dyDescent="0.2"/>
  <cols>
    <col min="1" max="1" width="4.42578125" style="62"/>
    <col min="2" max="2" width="21.85546875" style="62" bestFit="1" customWidth="1"/>
    <col min="3" max="3" width="11" style="111" bestFit="1" customWidth="1"/>
    <col min="4" max="4" width="9.85546875" style="111" bestFit="1" customWidth="1"/>
    <col min="5" max="5" width="7" style="111" bestFit="1" customWidth="1"/>
    <col min="6" max="6" width="8.7109375" style="111" bestFit="1" customWidth="1"/>
    <col min="7" max="7" width="5.85546875" style="111" bestFit="1" customWidth="1"/>
    <col min="8" max="8" width="7.7109375" style="111" bestFit="1" customWidth="1"/>
    <col min="9" max="9" width="5.85546875" style="111" bestFit="1" customWidth="1"/>
    <col min="10" max="10" width="8.42578125" style="111" customWidth="1"/>
    <col min="11" max="11" width="5.85546875" style="111" bestFit="1" customWidth="1"/>
    <col min="12" max="12" width="8.28515625" style="111" bestFit="1" customWidth="1"/>
    <col min="13" max="13" width="7.28515625" style="111" bestFit="1" customWidth="1"/>
    <col min="14" max="14" width="8.7109375" style="111" bestFit="1" customWidth="1"/>
    <col min="15" max="15" width="6.140625" style="111" bestFit="1" customWidth="1"/>
    <col min="16" max="16" width="7.28515625" style="111" bestFit="1" customWidth="1"/>
    <col min="17" max="17" width="7.7109375" style="111" bestFit="1" customWidth="1"/>
    <col min="18" max="20" width="9" style="111" bestFit="1" customWidth="1"/>
    <col min="21" max="21" width="8.7109375" style="111" bestFit="1" customWidth="1"/>
    <col min="22" max="22" width="8" style="111" customWidth="1"/>
    <col min="23" max="23" width="9.140625" style="112" bestFit="1" customWidth="1"/>
    <col min="24" max="24" width="10.5703125" style="112" bestFit="1" customWidth="1"/>
    <col min="25" max="25" width="8.5703125" style="62" bestFit="1" customWidth="1"/>
    <col min="26" max="26" width="4.42578125" style="62"/>
    <col min="27" max="27" width="7" style="62" bestFit="1" customWidth="1"/>
    <col min="28" max="28" width="8" style="62" bestFit="1" customWidth="1"/>
    <col min="29" max="16384" width="4.42578125" style="62"/>
  </cols>
  <sheetData>
    <row r="1" spans="1:28" ht="15.75" x14ac:dyDescent="0.2">
      <c r="A1" s="512" t="s">
        <v>378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</row>
    <row r="2" spans="1:28" x14ac:dyDescent="0.2">
      <c r="B2" s="108" t="s">
        <v>134</v>
      </c>
      <c r="J2" s="111" t="s">
        <v>142</v>
      </c>
      <c r="N2" s="62"/>
      <c r="O2" s="112"/>
      <c r="P2" s="112"/>
      <c r="V2" s="112" t="s">
        <v>167</v>
      </c>
    </row>
    <row r="3" spans="1:28" ht="15" customHeight="1" x14ac:dyDescent="0.2">
      <c r="A3" s="478" t="s">
        <v>272</v>
      </c>
      <c r="B3" s="478" t="s">
        <v>273</v>
      </c>
      <c r="C3" s="485" t="s">
        <v>274</v>
      </c>
      <c r="D3" s="485"/>
      <c r="E3" s="479" t="s">
        <v>153</v>
      </c>
      <c r="F3" s="479"/>
      <c r="G3" s="479" t="s">
        <v>24</v>
      </c>
      <c r="H3" s="479"/>
      <c r="I3" s="479"/>
      <c r="J3" s="479"/>
      <c r="K3" s="479"/>
      <c r="L3" s="479"/>
      <c r="M3" s="479"/>
      <c r="N3" s="479"/>
      <c r="O3" s="479" t="s">
        <v>136</v>
      </c>
      <c r="P3" s="479"/>
      <c r="Q3" s="479" t="s">
        <v>137</v>
      </c>
      <c r="R3" s="479"/>
      <c r="S3" s="479" t="s">
        <v>154</v>
      </c>
      <c r="T3" s="479"/>
      <c r="U3" s="479" t="s">
        <v>131</v>
      </c>
      <c r="V3" s="479"/>
      <c r="W3" s="479" t="s">
        <v>155</v>
      </c>
      <c r="X3" s="479"/>
      <c r="Y3" s="507" t="s">
        <v>121</v>
      </c>
    </row>
    <row r="4" spans="1:28" ht="24.95" customHeight="1" x14ac:dyDescent="0.2">
      <c r="A4" s="478"/>
      <c r="B4" s="478"/>
      <c r="C4" s="510" t="s">
        <v>30</v>
      </c>
      <c r="D4" s="510" t="s">
        <v>17</v>
      </c>
      <c r="E4" s="479"/>
      <c r="F4" s="479"/>
      <c r="G4" s="479" t="s">
        <v>127</v>
      </c>
      <c r="H4" s="479"/>
      <c r="I4" s="479" t="s">
        <v>128</v>
      </c>
      <c r="J4" s="479"/>
      <c r="K4" s="479" t="s">
        <v>129</v>
      </c>
      <c r="L4" s="479"/>
      <c r="M4" s="479" t="s">
        <v>156</v>
      </c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508"/>
    </row>
    <row r="5" spans="1:28" s="309" customFormat="1" ht="33" customHeight="1" x14ac:dyDescent="0.2">
      <c r="A5" s="478"/>
      <c r="B5" s="478"/>
      <c r="C5" s="511"/>
      <c r="D5" s="511"/>
      <c r="E5" s="350" t="s">
        <v>30</v>
      </c>
      <c r="F5" s="350" t="s">
        <v>17</v>
      </c>
      <c r="G5" s="350" t="s">
        <v>30</v>
      </c>
      <c r="H5" s="350" t="s">
        <v>17</v>
      </c>
      <c r="I5" s="350" t="s">
        <v>30</v>
      </c>
      <c r="J5" s="350" t="s">
        <v>17</v>
      </c>
      <c r="K5" s="350" t="s">
        <v>30</v>
      </c>
      <c r="L5" s="350" t="s">
        <v>17</v>
      </c>
      <c r="M5" s="350" t="s">
        <v>30</v>
      </c>
      <c r="N5" s="350" t="s">
        <v>17</v>
      </c>
      <c r="O5" s="350" t="s">
        <v>30</v>
      </c>
      <c r="P5" s="350" t="s">
        <v>17</v>
      </c>
      <c r="Q5" s="350" t="s">
        <v>30</v>
      </c>
      <c r="R5" s="350" t="s">
        <v>17</v>
      </c>
      <c r="S5" s="350" t="s">
        <v>30</v>
      </c>
      <c r="T5" s="350" t="s">
        <v>17</v>
      </c>
      <c r="U5" s="350" t="s">
        <v>30</v>
      </c>
      <c r="V5" s="350" t="s">
        <v>17</v>
      </c>
      <c r="W5" s="350" t="s">
        <v>30</v>
      </c>
      <c r="X5" s="350" t="s">
        <v>17</v>
      </c>
      <c r="Y5" s="509"/>
    </row>
    <row r="6" spans="1:28" x14ac:dyDescent="0.2">
      <c r="A6" s="57">
        <v>1</v>
      </c>
      <c r="B6" s="58" t="s">
        <v>55</v>
      </c>
      <c r="C6" s="99">
        <v>5565</v>
      </c>
      <c r="D6" s="99">
        <v>1762</v>
      </c>
      <c r="E6" s="99">
        <v>0</v>
      </c>
      <c r="F6" s="99">
        <v>0</v>
      </c>
      <c r="G6" s="99">
        <v>0</v>
      </c>
      <c r="H6" s="99">
        <v>0</v>
      </c>
      <c r="I6" s="99">
        <v>0</v>
      </c>
      <c r="J6" s="99">
        <v>0</v>
      </c>
      <c r="K6" s="99">
        <v>2</v>
      </c>
      <c r="L6" s="99">
        <v>2000</v>
      </c>
      <c r="M6" s="99">
        <f t="shared" ref="M6:M32" si="0">G6+I6+K6</f>
        <v>2</v>
      </c>
      <c r="N6" s="99">
        <f t="shared" ref="N6:N32" si="1">H6+J6+L6</f>
        <v>2000</v>
      </c>
      <c r="O6" s="99">
        <v>0</v>
      </c>
      <c r="P6" s="99">
        <v>0</v>
      </c>
      <c r="Q6" s="99">
        <v>0</v>
      </c>
      <c r="R6" s="99">
        <v>0</v>
      </c>
      <c r="S6" s="99">
        <v>459</v>
      </c>
      <c r="T6" s="99">
        <v>689</v>
      </c>
      <c r="U6" s="99">
        <v>345</v>
      </c>
      <c r="V6" s="99">
        <v>2879</v>
      </c>
      <c r="W6" s="99">
        <f t="shared" ref="W6:W32" si="2">U6+S6+Q6+O6+M6+E6</f>
        <v>806</v>
      </c>
      <c r="X6" s="99">
        <f t="shared" ref="X6:X32" si="3">V6+T6+R6+P6+N6+F6</f>
        <v>5568</v>
      </c>
      <c r="Y6" s="100">
        <f t="shared" ref="Y6:Y35" si="4">X6*100/D6</f>
        <v>316.00454029511917</v>
      </c>
      <c r="AA6" s="111"/>
      <c r="AB6" s="111"/>
    </row>
    <row r="7" spans="1:28" x14ac:dyDescent="0.2">
      <c r="A7" s="57">
        <v>2</v>
      </c>
      <c r="B7" s="58" t="s">
        <v>56</v>
      </c>
      <c r="C7" s="99">
        <v>1310</v>
      </c>
      <c r="D7" s="99">
        <v>2711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f t="shared" si="0"/>
        <v>0</v>
      </c>
      <c r="N7" s="99">
        <f t="shared" si="1"/>
        <v>0</v>
      </c>
      <c r="O7" s="99">
        <v>1</v>
      </c>
      <c r="P7" s="99">
        <v>24</v>
      </c>
      <c r="Q7" s="99">
        <v>3</v>
      </c>
      <c r="R7" s="99">
        <v>168</v>
      </c>
      <c r="S7" s="99">
        <v>20</v>
      </c>
      <c r="T7" s="99">
        <v>42</v>
      </c>
      <c r="U7" s="99">
        <v>143</v>
      </c>
      <c r="V7" s="99">
        <v>792</v>
      </c>
      <c r="W7" s="99">
        <f t="shared" si="2"/>
        <v>167</v>
      </c>
      <c r="X7" s="99">
        <f t="shared" si="3"/>
        <v>1026</v>
      </c>
      <c r="Y7" s="100">
        <f t="shared" si="4"/>
        <v>37.845813353006271</v>
      </c>
      <c r="AA7" s="111"/>
      <c r="AB7" s="111"/>
    </row>
    <row r="8" spans="1:28" x14ac:dyDescent="0.2">
      <c r="A8" s="57">
        <v>3</v>
      </c>
      <c r="B8" s="58" t="s">
        <v>57</v>
      </c>
      <c r="C8" s="99">
        <v>1672</v>
      </c>
      <c r="D8" s="99">
        <v>9426</v>
      </c>
      <c r="E8" s="99">
        <v>0</v>
      </c>
      <c r="F8" s="99">
        <v>0</v>
      </c>
      <c r="G8" s="99">
        <v>1</v>
      </c>
      <c r="H8" s="99">
        <v>1</v>
      </c>
      <c r="I8" s="99">
        <v>1</v>
      </c>
      <c r="J8" s="99">
        <v>1</v>
      </c>
      <c r="K8" s="99">
        <v>92</v>
      </c>
      <c r="L8" s="99">
        <v>4042</v>
      </c>
      <c r="M8" s="99">
        <f t="shared" si="0"/>
        <v>94</v>
      </c>
      <c r="N8" s="99">
        <f t="shared" si="1"/>
        <v>4044</v>
      </c>
      <c r="O8" s="99">
        <v>84</v>
      </c>
      <c r="P8" s="99">
        <v>1426</v>
      </c>
      <c r="Q8" s="99">
        <v>209</v>
      </c>
      <c r="R8" s="99">
        <v>4338</v>
      </c>
      <c r="S8" s="99">
        <v>395</v>
      </c>
      <c r="T8" s="99">
        <v>812</v>
      </c>
      <c r="U8" s="99">
        <v>145</v>
      </c>
      <c r="V8" s="99">
        <v>1556</v>
      </c>
      <c r="W8" s="99">
        <f t="shared" si="2"/>
        <v>927</v>
      </c>
      <c r="X8" s="99">
        <f t="shared" si="3"/>
        <v>12176</v>
      </c>
      <c r="Y8" s="100">
        <f t="shared" si="4"/>
        <v>129.17462338213451</v>
      </c>
      <c r="AA8" s="111"/>
      <c r="AB8" s="111"/>
    </row>
    <row r="9" spans="1:28" x14ac:dyDescent="0.2">
      <c r="A9" s="57">
        <v>4</v>
      </c>
      <c r="B9" s="58" t="s">
        <v>58</v>
      </c>
      <c r="C9" s="99">
        <v>5625</v>
      </c>
      <c r="D9" s="99">
        <v>48137</v>
      </c>
      <c r="E9" s="99">
        <v>5765</v>
      </c>
      <c r="F9" s="99">
        <v>9246</v>
      </c>
      <c r="G9" s="99">
        <v>9</v>
      </c>
      <c r="H9" s="99">
        <v>499</v>
      </c>
      <c r="I9" s="99">
        <v>35</v>
      </c>
      <c r="J9" s="99">
        <v>14563</v>
      </c>
      <c r="K9" s="99">
        <v>13</v>
      </c>
      <c r="L9" s="99">
        <v>3198</v>
      </c>
      <c r="M9" s="99">
        <f t="shared" si="0"/>
        <v>57</v>
      </c>
      <c r="N9" s="99">
        <f t="shared" si="1"/>
        <v>18260</v>
      </c>
      <c r="O9" s="99">
        <v>93</v>
      </c>
      <c r="P9" s="99">
        <v>60</v>
      </c>
      <c r="Q9" s="99">
        <v>2137</v>
      </c>
      <c r="R9" s="99">
        <v>7236</v>
      </c>
      <c r="S9" s="99">
        <v>1526</v>
      </c>
      <c r="T9" s="99">
        <v>2488</v>
      </c>
      <c r="U9" s="99">
        <v>8426</v>
      </c>
      <c r="V9" s="99">
        <v>4658</v>
      </c>
      <c r="W9" s="99">
        <f t="shared" si="2"/>
        <v>18004</v>
      </c>
      <c r="X9" s="99">
        <f t="shared" si="3"/>
        <v>41948</v>
      </c>
      <c r="Y9" s="100">
        <f t="shared" si="4"/>
        <v>87.142946174460391</v>
      </c>
      <c r="AA9" s="111"/>
      <c r="AB9" s="111"/>
    </row>
    <row r="10" spans="1:28" x14ac:dyDescent="0.2">
      <c r="A10" s="57">
        <v>5</v>
      </c>
      <c r="B10" s="58" t="s">
        <v>59</v>
      </c>
      <c r="C10" s="99">
        <v>3211</v>
      </c>
      <c r="D10" s="99">
        <v>11083</v>
      </c>
      <c r="E10" s="99">
        <v>1</v>
      </c>
      <c r="F10" s="99">
        <v>8463.2999999999993</v>
      </c>
      <c r="G10" s="99">
        <v>540</v>
      </c>
      <c r="H10" s="99">
        <v>2853.06</v>
      </c>
      <c r="I10" s="99">
        <v>22</v>
      </c>
      <c r="J10" s="99">
        <v>1838.99</v>
      </c>
      <c r="K10" s="99">
        <v>0</v>
      </c>
      <c r="L10" s="99">
        <v>0</v>
      </c>
      <c r="M10" s="99">
        <f t="shared" si="0"/>
        <v>562</v>
      </c>
      <c r="N10" s="99">
        <f t="shared" si="1"/>
        <v>4692.05</v>
      </c>
      <c r="O10" s="99">
        <v>192</v>
      </c>
      <c r="P10" s="99">
        <v>781.53</v>
      </c>
      <c r="Q10" s="99">
        <v>544</v>
      </c>
      <c r="R10" s="99">
        <v>12961.76</v>
      </c>
      <c r="S10" s="99">
        <v>5416</v>
      </c>
      <c r="T10" s="99">
        <v>14951.45</v>
      </c>
      <c r="U10" s="99">
        <v>1138</v>
      </c>
      <c r="V10" s="99">
        <v>31812.51</v>
      </c>
      <c r="W10" s="99">
        <f t="shared" si="2"/>
        <v>7853</v>
      </c>
      <c r="X10" s="99">
        <f t="shared" si="3"/>
        <v>73662.600000000006</v>
      </c>
      <c r="Y10" s="100">
        <f t="shared" si="4"/>
        <v>664.64495172787156</v>
      </c>
      <c r="AA10" s="111"/>
      <c r="AB10" s="111"/>
    </row>
    <row r="11" spans="1:28" x14ac:dyDescent="0.2">
      <c r="A11" s="57">
        <v>6</v>
      </c>
      <c r="B11" s="182" t="s">
        <v>242</v>
      </c>
      <c r="C11" s="99">
        <v>12</v>
      </c>
      <c r="D11" s="99">
        <v>13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f t="shared" si="0"/>
        <v>0</v>
      </c>
      <c r="N11" s="99">
        <f t="shared" si="1"/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f t="shared" si="2"/>
        <v>0</v>
      </c>
      <c r="X11" s="99">
        <f t="shared" si="3"/>
        <v>0</v>
      </c>
      <c r="Y11" s="100">
        <f t="shared" si="4"/>
        <v>0</v>
      </c>
      <c r="AA11" s="111"/>
      <c r="AB11" s="111"/>
    </row>
    <row r="12" spans="1:28" x14ac:dyDescent="0.2">
      <c r="A12" s="57">
        <v>7</v>
      </c>
      <c r="B12" s="58" t="s">
        <v>60</v>
      </c>
      <c r="C12" s="99">
        <v>2287</v>
      </c>
      <c r="D12" s="99">
        <v>11771</v>
      </c>
      <c r="E12" s="99">
        <v>0</v>
      </c>
      <c r="F12" s="99">
        <v>0</v>
      </c>
      <c r="G12" s="99">
        <v>0</v>
      </c>
      <c r="H12" s="99">
        <v>0</v>
      </c>
      <c r="I12" s="99">
        <v>0</v>
      </c>
      <c r="J12" s="99">
        <v>0</v>
      </c>
      <c r="K12" s="99">
        <v>0</v>
      </c>
      <c r="L12" s="99">
        <v>0</v>
      </c>
      <c r="M12" s="99">
        <f t="shared" si="0"/>
        <v>0</v>
      </c>
      <c r="N12" s="99">
        <f t="shared" si="1"/>
        <v>0</v>
      </c>
      <c r="O12" s="99">
        <v>21</v>
      </c>
      <c r="P12" s="99">
        <v>49</v>
      </c>
      <c r="Q12" s="99">
        <v>398</v>
      </c>
      <c r="R12" s="99">
        <v>1347</v>
      </c>
      <c r="S12" s="99">
        <v>7</v>
      </c>
      <c r="T12" s="99">
        <v>9</v>
      </c>
      <c r="U12" s="99">
        <v>1536</v>
      </c>
      <c r="V12" s="99">
        <v>5850</v>
      </c>
      <c r="W12" s="99">
        <f t="shared" si="2"/>
        <v>1962</v>
      </c>
      <c r="X12" s="99">
        <f t="shared" si="3"/>
        <v>7255</v>
      </c>
      <c r="Y12" s="100">
        <f t="shared" si="4"/>
        <v>61.634525528842069</v>
      </c>
      <c r="AA12" s="111"/>
      <c r="AB12" s="111"/>
    </row>
    <row r="13" spans="1:28" x14ac:dyDescent="0.2">
      <c r="A13" s="57">
        <v>8</v>
      </c>
      <c r="B13" s="58" t="s">
        <v>61</v>
      </c>
      <c r="C13" s="99">
        <f>4438-1646-8</f>
        <v>2784</v>
      </c>
      <c r="D13" s="99">
        <v>24031</v>
      </c>
      <c r="E13" s="99">
        <v>0</v>
      </c>
      <c r="F13" s="99">
        <v>0</v>
      </c>
      <c r="G13" s="99">
        <v>0</v>
      </c>
      <c r="H13" s="99">
        <v>0</v>
      </c>
      <c r="I13" s="58">
        <v>0</v>
      </c>
      <c r="J13" s="58">
        <v>0</v>
      </c>
      <c r="K13" s="99">
        <v>0</v>
      </c>
      <c r="L13" s="99">
        <v>0</v>
      </c>
      <c r="M13" s="99">
        <f t="shared" si="0"/>
        <v>0</v>
      </c>
      <c r="N13" s="99">
        <f t="shared" si="1"/>
        <v>0</v>
      </c>
      <c r="O13" s="99">
        <v>0</v>
      </c>
      <c r="P13" s="99">
        <v>0</v>
      </c>
      <c r="Q13" s="99">
        <v>20</v>
      </c>
      <c r="R13" s="99">
        <v>376</v>
      </c>
      <c r="S13" s="99">
        <v>1359</v>
      </c>
      <c r="T13" s="99">
        <v>3141</v>
      </c>
      <c r="U13" s="99">
        <v>165</v>
      </c>
      <c r="V13" s="99">
        <f>881+5251</f>
        <v>6132</v>
      </c>
      <c r="W13" s="99">
        <f t="shared" si="2"/>
        <v>1544</v>
      </c>
      <c r="X13" s="99">
        <f t="shared" si="3"/>
        <v>9649</v>
      </c>
      <c r="Y13" s="100">
        <f t="shared" si="4"/>
        <v>40.152303274936543</v>
      </c>
      <c r="AA13" s="111"/>
      <c r="AB13" s="111"/>
    </row>
    <row r="14" spans="1:28" x14ac:dyDescent="0.2">
      <c r="A14" s="57">
        <v>9</v>
      </c>
      <c r="B14" s="58" t="s">
        <v>48</v>
      </c>
      <c r="C14" s="99">
        <v>455</v>
      </c>
      <c r="D14" s="99">
        <v>1817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f t="shared" si="0"/>
        <v>0</v>
      </c>
      <c r="N14" s="99">
        <f t="shared" si="1"/>
        <v>0</v>
      </c>
      <c r="O14" s="99">
        <v>0</v>
      </c>
      <c r="P14" s="99">
        <v>0</v>
      </c>
      <c r="Q14" s="99">
        <v>0</v>
      </c>
      <c r="R14" s="99">
        <v>0</v>
      </c>
      <c r="S14" s="99">
        <v>12</v>
      </c>
      <c r="T14" s="99">
        <v>12.68</v>
      </c>
      <c r="U14" s="99">
        <v>1452</v>
      </c>
      <c r="V14" s="99">
        <v>47865</v>
      </c>
      <c r="W14" s="99">
        <f t="shared" si="2"/>
        <v>1464</v>
      </c>
      <c r="X14" s="99">
        <f t="shared" si="3"/>
        <v>47877.68</v>
      </c>
      <c r="Y14" s="100">
        <f t="shared" si="4"/>
        <v>2634.9851403412217</v>
      </c>
      <c r="AA14" s="111"/>
      <c r="AB14" s="111"/>
    </row>
    <row r="15" spans="1:28" x14ac:dyDescent="0.2">
      <c r="A15" s="57">
        <v>10</v>
      </c>
      <c r="B15" s="58" t="s">
        <v>49</v>
      </c>
      <c r="C15" s="99">
        <v>1072</v>
      </c>
      <c r="D15" s="99">
        <v>5706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f t="shared" si="0"/>
        <v>0</v>
      </c>
      <c r="N15" s="99">
        <f t="shared" si="1"/>
        <v>0</v>
      </c>
      <c r="O15" s="99">
        <v>0</v>
      </c>
      <c r="P15" s="99">
        <v>0</v>
      </c>
      <c r="Q15" s="99">
        <v>26</v>
      </c>
      <c r="R15" s="99">
        <v>682</v>
      </c>
      <c r="S15" s="99">
        <v>100</v>
      </c>
      <c r="T15" s="99">
        <v>80</v>
      </c>
      <c r="U15" s="99">
        <v>812</v>
      </c>
      <c r="V15" s="99">
        <v>52166</v>
      </c>
      <c r="W15" s="99">
        <f t="shared" si="2"/>
        <v>938</v>
      </c>
      <c r="X15" s="99">
        <f t="shared" si="3"/>
        <v>52928</v>
      </c>
      <c r="Y15" s="100">
        <f t="shared" si="4"/>
        <v>927.58499824745877</v>
      </c>
      <c r="AA15" s="111"/>
      <c r="AB15" s="111"/>
    </row>
    <row r="16" spans="1:28" x14ac:dyDescent="0.2">
      <c r="A16" s="57">
        <v>11</v>
      </c>
      <c r="B16" s="58" t="s">
        <v>81</v>
      </c>
      <c r="C16" s="99">
        <v>975</v>
      </c>
      <c r="D16" s="99">
        <v>9764</v>
      </c>
      <c r="E16" s="99">
        <v>0</v>
      </c>
      <c r="F16" s="99">
        <v>0</v>
      </c>
      <c r="G16" s="99">
        <v>1</v>
      </c>
      <c r="H16" s="99">
        <v>4</v>
      </c>
      <c r="I16" s="99">
        <v>2</v>
      </c>
      <c r="J16" s="99">
        <v>20</v>
      </c>
      <c r="K16" s="99">
        <v>3</v>
      </c>
      <c r="L16" s="99">
        <v>30</v>
      </c>
      <c r="M16" s="99">
        <f t="shared" si="0"/>
        <v>6</v>
      </c>
      <c r="N16" s="99">
        <f t="shared" si="1"/>
        <v>54</v>
      </c>
      <c r="O16" s="99">
        <v>4</v>
      </c>
      <c r="P16" s="99">
        <v>2</v>
      </c>
      <c r="Q16" s="99">
        <v>227</v>
      </c>
      <c r="R16" s="99">
        <v>6446</v>
      </c>
      <c r="S16" s="99">
        <v>1141</v>
      </c>
      <c r="T16" s="99">
        <v>9291</v>
      </c>
      <c r="U16" s="99">
        <v>255</v>
      </c>
      <c r="V16" s="99">
        <v>1133</v>
      </c>
      <c r="W16" s="99">
        <f t="shared" si="2"/>
        <v>1633</v>
      </c>
      <c r="X16" s="99">
        <f t="shared" si="3"/>
        <v>16926</v>
      </c>
      <c r="Y16" s="100">
        <f t="shared" si="4"/>
        <v>173.35108562064727</v>
      </c>
      <c r="AA16" s="111"/>
      <c r="AB16" s="111"/>
    </row>
    <row r="17" spans="1:28" x14ac:dyDescent="0.2">
      <c r="A17" s="57">
        <v>12</v>
      </c>
      <c r="B17" s="58" t="s">
        <v>62</v>
      </c>
      <c r="C17" s="99">
        <v>454</v>
      </c>
      <c r="D17" s="99">
        <v>2250</v>
      </c>
      <c r="E17" s="99">
        <v>0</v>
      </c>
      <c r="F17" s="99">
        <v>0</v>
      </c>
      <c r="G17" s="99">
        <v>24</v>
      </c>
      <c r="H17" s="99">
        <v>245.21</v>
      </c>
      <c r="I17" s="99">
        <v>1</v>
      </c>
      <c r="J17" s="99">
        <v>21.45</v>
      </c>
      <c r="K17" s="99">
        <v>0</v>
      </c>
      <c r="L17" s="99">
        <v>0</v>
      </c>
      <c r="M17" s="99">
        <f t="shared" si="0"/>
        <v>25</v>
      </c>
      <c r="N17" s="99">
        <f t="shared" si="1"/>
        <v>266.66000000000003</v>
      </c>
      <c r="O17" s="99">
        <v>5</v>
      </c>
      <c r="P17" s="99">
        <v>7.97</v>
      </c>
      <c r="Q17" s="99">
        <v>44</v>
      </c>
      <c r="R17" s="99">
        <v>982.67</v>
      </c>
      <c r="S17" s="99">
        <v>433</v>
      </c>
      <c r="T17" s="99">
        <v>400.11</v>
      </c>
      <c r="U17" s="99">
        <v>1417</v>
      </c>
      <c r="V17" s="99">
        <v>11352</v>
      </c>
      <c r="W17" s="99">
        <f t="shared" si="2"/>
        <v>1924</v>
      </c>
      <c r="X17" s="99">
        <f t="shared" si="3"/>
        <v>13009.41</v>
      </c>
      <c r="Y17" s="100">
        <f t="shared" si="4"/>
        <v>578.19600000000003</v>
      </c>
      <c r="AA17" s="111"/>
      <c r="AB17" s="111"/>
    </row>
    <row r="18" spans="1:28" x14ac:dyDescent="0.2">
      <c r="A18" s="57">
        <v>13</v>
      </c>
      <c r="B18" s="58" t="s">
        <v>63</v>
      </c>
      <c r="C18" s="99">
        <v>608</v>
      </c>
      <c r="D18" s="99">
        <v>2398</v>
      </c>
      <c r="E18" s="99">
        <v>0</v>
      </c>
      <c r="F18" s="99">
        <v>0</v>
      </c>
      <c r="G18" s="99">
        <v>0</v>
      </c>
      <c r="H18" s="99">
        <v>0</v>
      </c>
      <c r="I18" s="99">
        <v>0</v>
      </c>
      <c r="J18" s="99">
        <v>0</v>
      </c>
      <c r="K18" s="99">
        <v>6</v>
      </c>
      <c r="L18" s="99">
        <v>757</v>
      </c>
      <c r="M18" s="99">
        <f t="shared" si="0"/>
        <v>6</v>
      </c>
      <c r="N18" s="99">
        <f t="shared" si="1"/>
        <v>757</v>
      </c>
      <c r="O18" s="99">
        <v>0</v>
      </c>
      <c r="P18" s="99">
        <v>0</v>
      </c>
      <c r="Q18" s="99">
        <v>1</v>
      </c>
      <c r="R18" s="99">
        <v>30</v>
      </c>
      <c r="S18" s="99">
        <v>990</v>
      </c>
      <c r="T18" s="99">
        <v>4952</v>
      </c>
      <c r="U18" s="99">
        <v>253</v>
      </c>
      <c r="V18" s="99">
        <v>2359</v>
      </c>
      <c r="W18" s="99">
        <f t="shared" si="2"/>
        <v>1250</v>
      </c>
      <c r="X18" s="99">
        <f t="shared" si="3"/>
        <v>8098</v>
      </c>
      <c r="Y18" s="100">
        <f t="shared" si="4"/>
        <v>337.69808173477901</v>
      </c>
      <c r="AA18" s="111"/>
      <c r="AB18" s="111"/>
    </row>
    <row r="19" spans="1:28" x14ac:dyDescent="0.2">
      <c r="A19" s="57">
        <v>14</v>
      </c>
      <c r="B19" s="91" t="s">
        <v>207</v>
      </c>
      <c r="C19" s="99">
        <v>2210</v>
      </c>
      <c r="D19" s="99">
        <v>7391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f t="shared" si="0"/>
        <v>0</v>
      </c>
      <c r="N19" s="99">
        <f t="shared" si="1"/>
        <v>0</v>
      </c>
      <c r="O19" s="99">
        <v>0</v>
      </c>
      <c r="P19" s="99">
        <v>0</v>
      </c>
      <c r="Q19" s="99">
        <v>129</v>
      </c>
      <c r="R19" s="99">
        <v>2352.2199999999998</v>
      </c>
      <c r="S19" s="99">
        <v>399</v>
      </c>
      <c r="T19" s="99">
        <v>74</v>
      </c>
      <c r="U19" s="99">
        <v>1259</v>
      </c>
      <c r="V19" s="99">
        <v>8813.75</v>
      </c>
      <c r="W19" s="99">
        <f t="shared" si="2"/>
        <v>1787</v>
      </c>
      <c r="X19" s="99">
        <f t="shared" si="3"/>
        <v>11239.97</v>
      </c>
      <c r="Y19" s="100">
        <f t="shared" si="4"/>
        <v>152.07644432417806</v>
      </c>
      <c r="AA19" s="111"/>
      <c r="AB19" s="111"/>
    </row>
    <row r="20" spans="1:28" x14ac:dyDescent="0.2">
      <c r="A20" s="57">
        <v>15</v>
      </c>
      <c r="B20" s="58" t="s">
        <v>208</v>
      </c>
      <c r="C20" s="99">
        <v>1222</v>
      </c>
      <c r="D20" s="99">
        <v>4287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v>0</v>
      </c>
      <c r="L20" s="99">
        <v>0</v>
      </c>
      <c r="M20" s="99">
        <f t="shared" si="0"/>
        <v>0</v>
      </c>
      <c r="N20" s="99">
        <f t="shared" si="1"/>
        <v>0</v>
      </c>
      <c r="O20" s="99">
        <v>0</v>
      </c>
      <c r="P20" s="99">
        <v>0</v>
      </c>
      <c r="Q20" s="99">
        <v>2</v>
      </c>
      <c r="R20" s="99">
        <v>52</v>
      </c>
      <c r="S20" s="99">
        <v>15</v>
      </c>
      <c r="T20" s="99">
        <v>71</v>
      </c>
      <c r="U20" s="99">
        <v>161</v>
      </c>
      <c r="V20" s="99">
        <v>602.47</v>
      </c>
      <c r="W20" s="99">
        <f t="shared" si="2"/>
        <v>178</v>
      </c>
      <c r="X20" s="99">
        <f t="shared" si="3"/>
        <v>725.47</v>
      </c>
      <c r="Y20" s="100">
        <f t="shared" si="4"/>
        <v>16.922556566363426</v>
      </c>
      <c r="AA20" s="111"/>
      <c r="AB20" s="111"/>
    </row>
    <row r="21" spans="1:28" x14ac:dyDescent="0.2">
      <c r="A21" s="57">
        <v>16</v>
      </c>
      <c r="B21" s="58" t="s">
        <v>64</v>
      </c>
      <c r="C21" s="99">
        <v>2053</v>
      </c>
      <c r="D21" s="99">
        <v>16716</v>
      </c>
      <c r="E21" s="99">
        <v>6</v>
      </c>
      <c r="F21" s="99">
        <f>28900-6907</f>
        <v>21993</v>
      </c>
      <c r="G21" s="99">
        <v>0</v>
      </c>
      <c r="H21" s="99">
        <v>0</v>
      </c>
      <c r="I21" s="99">
        <v>66</v>
      </c>
      <c r="J21" s="99">
        <v>21529</v>
      </c>
      <c r="K21" s="99">
        <v>5</v>
      </c>
      <c r="L21" s="99">
        <v>5131</v>
      </c>
      <c r="M21" s="99">
        <f t="shared" si="0"/>
        <v>71</v>
      </c>
      <c r="N21" s="99">
        <f t="shared" si="1"/>
        <v>26660</v>
      </c>
      <c r="O21" s="99">
        <v>6</v>
      </c>
      <c r="P21" s="99">
        <v>25</v>
      </c>
      <c r="Q21" s="99">
        <v>394</v>
      </c>
      <c r="R21" s="99">
        <v>8494</v>
      </c>
      <c r="S21" s="99">
        <v>12318</v>
      </c>
      <c r="T21" s="99">
        <v>53533</v>
      </c>
      <c r="U21" s="99">
        <v>2140</v>
      </c>
      <c r="V21" s="99">
        <v>211576</v>
      </c>
      <c r="W21" s="99">
        <f t="shared" si="2"/>
        <v>14935</v>
      </c>
      <c r="X21" s="99">
        <f t="shared" si="3"/>
        <v>322281</v>
      </c>
      <c r="Y21" s="100">
        <f t="shared" si="4"/>
        <v>1927.9791816223976</v>
      </c>
      <c r="AA21" s="111"/>
      <c r="AB21" s="111"/>
    </row>
    <row r="22" spans="1:28" x14ac:dyDescent="0.2">
      <c r="A22" s="57">
        <v>17</v>
      </c>
      <c r="B22" s="91" t="s">
        <v>69</v>
      </c>
      <c r="C22" s="99">
        <v>396</v>
      </c>
      <c r="D22" s="99">
        <v>2032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f t="shared" si="0"/>
        <v>0</v>
      </c>
      <c r="N22" s="99">
        <f t="shared" si="1"/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f t="shared" si="2"/>
        <v>0</v>
      </c>
      <c r="X22" s="99">
        <f t="shared" si="3"/>
        <v>0</v>
      </c>
      <c r="Y22" s="100">
        <f t="shared" si="4"/>
        <v>0</v>
      </c>
      <c r="AA22" s="111"/>
      <c r="AB22" s="111"/>
    </row>
    <row r="23" spans="1:28" x14ac:dyDescent="0.2">
      <c r="A23" s="57">
        <v>18</v>
      </c>
      <c r="B23" s="58" t="s">
        <v>209</v>
      </c>
      <c r="C23" s="99">
        <v>14</v>
      </c>
      <c r="D23" s="99">
        <v>147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f t="shared" si="0"/>
        <v>0</v>
      </c>
      <c r="N23" s="99">
        <f t="shared" si="1"/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>
        <v>0</v>
      </c>
      <c r="V23" s="99">
        <v>0</v>
      </c>
      <c r="W23" s="99">
        <f t="shared" si="2"/>
        <v>0</v>
      </c>
      <c r="X23" s="99">
        <f t="shared" si="3"/>
        <v>0</v>
      </c>
      <c r="Y23" s="100">
        <f t="shared" si="4"/>
        <v>0</v>
      </c>
      <c r="AA23" s="111"/>
      <c r="AB23" s="111"/>
    </row>
    <row r="24" spans="1:28" x14ac:dyDescent="0.2">
      <c r="A24" s="57">
        <v>19</v>
      </c>
      <c r="B24" s="92" t="s">
        <v>210</v>
      </c>
      <c r="C24" s="99">
        <v>246</v>
      </c>
      <c r="D24" s="99">
        <v>1394</v>
      </c>
      <c r="E24" s="99">
        <v>0</v>
      </c>
      <c r="F24" s="99">
        <v>0</v>
      </c>
      <c r="G24" s="99">
        <v>0</v>
      </c>
      <c r="H24" s="99">
        <v>0</v>
      </c>
      <c r="I24" s="99">
        <v>0</v>
      </c>
      <c r="J24" s="99">
        <v>0</v>
      </c>
      <c r="K24" s="99">
        <v>0</v>
      </c>
      <c r="L24" s="99">
        <v>0</v>
      </c>
      <c r="M24" s="99">
        <f t="shared" si="0"/>
        <v>0</v>
      </c>
      <c r="N24" s="99">
        <f t="shared" si="1"/>
        <v>0</v>
      </c>
      <c r="O24" s="99">
        <v>0</v>
      </c>
      <c r="P24" s="99">
        <v>0</v>
      </c>
      <c r="Q24" s="99">
        <v>26</v>
      </c>
      <c r="R24" s="99">
        <v>367.35</v>
      </c>
      <c r="S24" s="99">
        <v>0</v>
      </c>
      <c r="T24" s="99">
        <v>0</v>
      </c>
      <c r="U24" s="99">
        <v>41</v>
      </c>
      <c r="V24" s="99">
        <v>126.6</v>
      </c>
      <c r="W24" s="99">
        <f t="shared" si="2"/>
        <v>67</v>
      </c>
      <c r="X24" s="99">
        <f t="shared" si="3"/>
        <v>493.95000000000005</v>
      </c>
      <c r="Y24" s="100">
        <f t="shared" si="4"/>
        <v>35.434002869440462</v>
      </c>
      <c r="AA24" s="111"/>
      <c r="AB24" s="111"/>
    </row>
    <row r="25" spans="1:28" x14ac:dyDescent="0.2">
      <c r="A25" s="57">
        <v>20</v>
      </c>
      <c r="B25" s="58" t="s">
        <v>211</v>
      </c>
      <c r="C25" s="99">
        <v>104</v>
      </c>
      <c r="D25" s="99">
        <v>1112</v>
      </c>
      <c r="E25" s="99">
        <v>0</v>
      </c>
      <c r="F25" s="99">
        <v>0</v>
      </c>
      <c r="G25" s="99">
        <v>4</v>
      </c>
      <c r="H25" s="99">
        <v>50</v>
      </c>
      <c r="I25" s="99">
        <v>5</v>
      </c>
      <c r="J25" s="99">
        <v>65</v>
      </c>
      <c r="K25" s="99">
        <v>0</v>
      </c>
      <c r="L25" s="99">
        <v>0</v>
      </c>
      <c r="M25" s="99">
        <f t="shared" si="0"/>
        <v>9</v>
      </c>
      <c r="N25" s="99">
        <f t="shared" si="1"/>
        <v>115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f t="shared" si="2"/>
        <v>9</v>
      </c>
      <c r="X25" s="99">
        <f t="shared" si="3"/>
        <v>115</v>
      </c>
      <c r="Y25" s="100">
        <f t="shared" si="4"/>
        <v>10.341726618705035</v>
      </c>
      <c r="AA25" s="111"/>
      <c r="AB25" s="111"/>
    </row>
    <row r="26" spans="1:28" x14ac:dyDescent="0.2">
      <c r="A26" s="57">
        <v>21</v>
      </c>
      <c r="B26" s="58" t="s">
        <v>212</v>
      </c>
      <c r="C26" s="99">
        <v>377</v>
      </c>
      <c r="D26" s="99">
        <v>2598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f t="shared" si="0"/>
        <v>0</v>
      </c>
      <c r="N26" s="99">
        <f t="shared" si="1"/>
        <v>0</v>
      </c>
      <c r="O26" s="99">
        <v>0</v>
      </c>
      <c r="P26" s="99">
        <v>0</v>
      </c>
      <c r="Q26" s="99">
        <v>0</v>
      </c>
      <c r="R26" s="99">
        <v>0</v>
      </c>
      <c r="S26" s="99">
        <v>194</v>
      </c>
      <c r="T26" s="99">
        <v>87</v>
      </c>
      <c r="U26" s="99">
        <v>0</v>
      </c>
      <c r="V26" s="99">
        <v>0</v>
      </c>
      <c r="W26" s="99">
        <f t="shared" si="2"/>
        <v>194</v>
      </c>
      <c r="X26" s="99">
        <f t="shared" si="3"/>
        <v>87</v>
      </c>
      <c r="Y26" s="100">
        <f t="shared" si="4"/>
        <v>3.3487297921478061</v>
      </c>
      <c r="AA26" s="111"/>
      <c r="AB26" s="111"/>
    </row>
    <row r="27" spans="1:28" s="108" customFormat="1" x14ac:dyDescent="0.2">
      <c r="A27" s="57">
        <v>22</v>
      </c>
      <c r="B27" s="58" t="s">
        <v>70</v>
      </c>
      <c r="C27" s="99">
        <v>5819</v>
      </c>
      <c r="D27" s="99">
        <f>91453-41394</f>
        <v>50059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f t="shared" si="0"/>
        <v>0</v>
      </c>
      <c r="N27" s="99">
        <f t="shared" si="1"/>
        <v>0</v>
      </c>
      <c r="O27" s="99">
        <v>990</v>
      </c>
      <c r="P27" s="99">
        <v>6145</v>
      </c>
      <c r="Q27" s="99">
        <v>2576</v>
      </c>
      <c r="R27" s="99">
        <v>56216</v>
      </c>
      <c r="S27" s="99">
        <v>50525</v>
      </c>
      <c r="T27" s="99">
        <v>181505</v>
      </c>
      <c r="U27" s="99">
        <f>14222-9685</f>
        <v>4537</v>
      </c>
      <c r="V27" s="99">
        <v>26545</v>
      </c>
      <c r="W27" s="99">
        <f t="shared" si="2"/>
        <v>58628</v>
      </c>
      <c r="X27" s="99">
        <f t="shared" si="3"/>
        <v>270411</v>
      </c>
      <c r="Y27" s="100">
        <f t="shared" si="4"/>
        <v>540.18458219301226</v>
      </c>
      <c r="AA27" s="111"/>
      <c r="AB27" s="111"/>
    </row>
    <row r="28" spans="1:28" x14ac:dyDescent="0.2">
      <c r="A28" s="57">
        <v>23</v>
      </c>
      <c r="B28" s="58" t="s">
        <v>65</v>
      </c>
      <c r="C28" s="99">
        <v>1249</v>
      </c>
      <c r="D28" s="99">
        <v>3243</v>
      </c>
      <c r="E28" s="99">
        <v>0</v>
      </c>
      <c r="F28" s="99">
        <v>0</v>
      </c>
      <c r="G28" s="99">
        <v>132</v>
      </c>
      <c r="H28" s="99">
        <v>445</v>
      </c>
      <c r="I28" s="99">
        <v>27</v>
      </c>
      <c r="J28" s="99">
        <v>1165</v>
      </c>
      <c r="K28" s="99">
        <v>0</v>
      </c>
      <c r="L28" s="99">
        <v>0</v>
      </c>
      <c r="M28" s="99">
        <f t="shared" si="0"/>
        <v>159</v>
      </c>
      <c r="N28" s="99">
        <f t="shared" si="1"/>
        <v>1610</v>
      </c>
      <c r="O28" s="99">
        <v>4</v>
      </c>
      <c r="P28" s="99">
        <v>40</v>
      </c>
      <c r="Q28" s="99">
        <v>312</v>
      </c>
      <c r="R28" s="99">
        <v>3250</v>
      </c>
      <c r="S28" s="99">
        <v>5125</v>
      </c>
      <c r="T28" s="99">
        <v>7191</v>
      </c>
      <c r="U28" s="99">
        <v>9092</v>
      </c>
      <c r="V28" s="99">
        <f>126825-87742</f>
        <v>39083</v>
      </c>
      <c r="W28" s="99">
        <f t="shared" si="2"/>
        <v>14692</v>
      </c>
      <c r="X28" s="99">
        <f t="shared" si="3"/>
        <v>51174</v>
      </c>
      <c r="Y28" s="100">
        <f t="shared" si="4"/>
        <v>1577.9833487511564</v>
      </c>
      <c r="AA28" s="111"/>
      <c r="AB28" s="111"/>
    </row>
    <row r="29" spans="1:28" x14ac:dyDescent="0.2">
      <c r="A29" s="57">
        <v>24</v>
      </c>
      <c r="B29" s="58" t="s">
        <v>213</v>
      </c>
      <c r="C29" s="99">
        <v>2492</v>
      </c>
      <c r="D29" s="99">
        <v>8380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48</v>
      </c>
      <c r="L29" s="99">
        <v>9134</v>
      </c>
      <c r="M29" s="99">
        <f t="shared" si="0"/>
        <v>48</v>
      </c>
      <c r="N29" s="99">
        <f t="shared" si="1"/>
        <v>9134</v>
      </c>
      <c r="O29" s="99">
        <v>3</v>
      </c>
      <c r="P29" s="99">
        <v>8</v>
      </c>
      <c r="Q29" s="99">
        <v>11</v>
      </c>
      <c r="R29" s="99">
        <v>382</v>
      </c>
      <c r="S29" s="99">
        <v>347</v>
      </c>
      <c r="T29" s="99">
        <v>1366</v>
      </c>
      <c r="U29" s="99">
        <f>11761-8896</f>
        <v>2865</v>
      </c>
      <c r="V29" s="99">
        <v>30044</v>
      </c>
      <c r="W29" s="99">
        <f t="shared" si="2"/>
        <v>3274</v>
      </c>
      <c r="X29" s="99">
        <f t="shared" si="3"/>
        <v>40934</v>
      </c>
      <c r="Y29" s="100">
        <f t="shared" si="4"/>
        <v>488.47255369928399</v>
      </c>
      <c r="AA29" s="111"/>
      <c r="AB29" s="111"/>
    </row>
    <row r="30" spans="1:28" x14ac:dyDescent="0.2">
      <c r="A30" s="57">
        <v>25</v>
      </c>
      <c r="B30" s="58" t="s">
        <v>66</v>
      </c>
      <c r="C30" s="99">
        <v>2625</v>
      </c>
      <c r="D30" s="99">
        <v>14949</v>
      </c>
      <c r="E30" s="99">
        <v>0</v>
      </c>
      <c r="F30" s="99">
        <v>0</v>
      </c>
      <c r="G30" s="99">
        <v>0</v>
      </c>
      <c r="H30" s="99">
        <v>0</v>
      </c>
      <c r="I30" s="99">
        <v>9</v>
      </c>
      <c r="J30" s="99">
        <v>15205</v>
      </c>
      <c r="K30" s="99">
        <v>5</v>
      </c>
      <c r="L30" s="99">
        <v>3512</v>
      </c>
      <c r="M30" s="99">
        <f t="shared" si="0"/>
        <v>14</v>
      </c>
      <c r="N30" s="99">
        <f t="shared" si="1"/>
        <v>18717</v>
      </c>
      <c r="O30" s="99">
        <v>134</v>
      </c>
      <c r="P30" s="99">
        <v>218</v>
      </c>
      <c r="Q30" s="99">
        <v>1595</v>
      </c>
      <c r="R30" s="99">
        <v>6312</v>
      </c>
      <c r="S30" s="99">
        <v>1793</v>
      </c>
      <c r="T30" s="99">
        <v>6384</v>
      </c>
      <c r="U30" s="99">
        <v>2645</v>
      </c>
      <c r="V30" s="99">
        <v>118423</v>
      </c>
      <c r="W30" s="99">
        <f t="shared" si="2"/>
        <v>6181</v>
      </c>
      <c r="X30" s="99">
        <f t="shared" si="3"/>
        <v>150054</v>
      </c>
      <c r="Y30" s="100">
        <f t="shared" si="4"/>
        <v>1003.7728276138872</v>
      </c>
      <c r="AA30" s="111"/>
      <c r="AB30" s="111"/>
    </row>
    <row r="31" spans="1:28" x14ac:dyDescent="0.2">
      <c r="A31" s="57">
        <v>26</v>
      </c>
      <c r="B31" s="182" t="s">
        <v>67</v>
      </c>
      <c r="C31" s="99">
        <v>183</v>
      </c>
      <c r="D31" s="99">
        <v>1268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f t="shared" si="0"/>
        <v>0</v>
      </c>
      <c r="N31" s="99">
        <f t="shared" si="1"/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66</v>
      </c>
      <c r="V31" s="99">
        <v>163</v>
      </c>
      <c r="W31" s="99">
        <f t="shared" si="2"/>
        <v>66</v>
      </c>
      <c r="X31" s="99">
        <f t="shared" si="3"/>
        <v>163</v>
      </c>
      <c r="Y31" s="100">
        <f t="shared" si="4"/>
        <v>12.854889589905362</v>
      </c>
      <c r="AA31" s="111"/>
      <c r="AB31" s="111"/>
    </row>
    <row r="32" spans="1:28" x14ac:dyDescent="0.2">
      <c r="A32" s="57">
        <v>27</v>
      </c>
      <c r="B32" s="58" t="s">
        <v>50</v>
      </c>
      <c r="C32" s="99">
        <v>742</v>
      </c>
      <c r="D32" s="99">
        <v>967</v>
      </c>
      <c r="E32" s="99">
        <v>0</v>
      </c>
      <c r="F32" s="99">
        <v>0</v>
      </c>
      <c r="G32" s="99">
        <v>0</v>
      </c>
      <c r="H32" s="99">
        <v>0</v>
      </c>
      <c r="I32" s="99">
        <v>0</v>
      </c>
      <c r="J32" s="99">
        <v>0</v>
      </c>
      <c r="K32" s="99">
        <v>0</v>
      </c>
      <c r="L32" s="99">
        <v>0</v>
      </c>
      <c r="M32" s="99">
        <f t="shared" si="0"/>
        <v>0</v>
      </c>
      <c r="N32" s="99">
        <f t="shared" si="1"/>
        <v>0</v>
      </c>
      <c r="O32" s="99">
        <v>0</v>
      </c>
      <c r="P32" s="99">
        <v>0</v>
      </c>
      <c r="Q32" s="99">
        <v>0</v>
      </c>
      <c r="R32" s="99">
        <v>0</v>
      </c>
      <c r="S32" s="99">
        <v>98</v>
      </c>
      <c r="T32" s="99">
        <v>1063</v>
      </c>
      <c r="U32" s="99">
        <v>288</v>
      </c>
      <c r="V32" s="99">
        <v>797.75</v>
      </c>
      <c r="W32" s="99">
        <f t="shared" si="2"/>
        <v>386</v>
      </c>
      <c r="X32" s="99">
        <f t="shared" si="3"/>
        <v>1860.75</v>
      </c>
      <c r="Y32" s="100">
        <f t="shared" si="4"/>
        <v>192.4250258531541</v>
      </c>
      <c r="AA32" s="111"/>
      <c r="AB32" s="111"/>
    </row>
    <row r="33" spans="1:28" s="108" customFormat="1" x14ac:dyDescent="0.2">
      <c r="A33" s="349"/>
      <c r="B33" s="60" t="s">
        <v>214</v>
      </c>
      <c r="C33" s="106">
        <f>SUM(C6:C32)</f>
        <v>45762</v>
      </c>
      <c r="D33" s="106">
        <f t="shared" ref="D33:V33" si="5">SUM(D6:D32)</f>
        <v>245412</v>
      </c>
      <c r="E33" s="106">
        <f t="shared" si="5"/>
        <v>5772</v>
      </c>
      <c r="F33" s="106">
        <f t="shared" si="5"/>
        <v>39702.300000000003</v>
      </c>
      <c r="G33" s="106">
        <f t="shared" si="5"/>
        <v>711</v>
      </c>
      <c r="H33" s="106">
        <f t="shared" si="5"/>
        <v>4097.2700000000004</v>
      </c>
      <c r="I33" s="106">
        <f t="shared" si="5"/>
        <v>168</v>
      </c>
      <c r="J33" s="106">
        <f t="shared" si="5"/>
        <v>54408.44</v>
      </c>
      <c r="K33" s="106">
        <f t="shared" si="5"/>
        <v>174</v>
      </c>
      <c r="L33" s="106">
        <f t="shared" si="5"/>
        <v>27804</v>
      </c>
      <c r="M33" s="106">
        <f t="shared" ref="M33" si="6">SUM(M6:M32)</f>
        <v>1053</v>
      </c>
      <c r="N33" s="106">
        <f t="shared" ref="N33" si="7">SUM(N6:N32)</f>
        <v>86309.709999999992</v>
      </c>
      <c r="O33" s="106">
        <f t="shared" si="5"/>
        <v>1537</v>
      </c>
      <c r="P33" s="106">
        <f t="shared" si="5"/>
        <v>8786.5</v>
      </c>
      <c r="Q33" s="106">
        <f t="shared" si="5"/>
        <v>8654</v>
      </c>
      <c r="R33" s="106">
        <f t="shared" si="5"/>
        <v>111993</v>
      </c>
      <c r="S33" s="106">
        <f t="shared" si="5"/>
        <v>82672</v>
      </c>
      <c r="T33" s="106">
        <f t="shared" si="5"/>
        <v>288142.24</v>
      </c>
      <c r="U33" s="106">
        <f t="shared" si="5"/>
        <v>39181</v>
      </c>
      <c r="V33" s="106">
        <f t="shared" si="5"/>
        <v>604729.07999999996</v>
      </c>
      <c r="W33" s="106">
        <f t="shared" ref="W33" si="8">SUM(W6:W32)</f>
        <v>138869</v>
      </c>
      <c r="X33" s="106">
        <f t="shared" ref="X33" si="9">SUM(X6:X32)</f>
        <v>1139662.8299999998</v>
      </c>
      <c r="Y33" s="97">
        <f t="shared" si="4"/>
        <v>464.38757273482952</v>
      </c>
      <c r="AA33" s="111"/>
      <c r="AB33" s="111"/>
    </row>
    <row r="34" spans="1:28" s="108" customFormat="1" x14ac:dyDescent="0.2">
      <c r="A34" s="57">
        <v>28</v>
      </c>
      <c r="B34" s="58" t="s">
        <v>47</v>
      </c>
      <c r="C34" s="99">
        <v>1790</v>
      </c>
      <c r="D34" s="99">
        <v>9603</v>
      </c>
      <c r="E34" s="99">
        <v>0</v>
      </c>
      <c r="F34" s="99">
        <v>0</v>
      </c>
      <c r="G34" s="99">
        <v>37</v>
      </c>
      <c r="H34" s="99">
        <v>527</v>
      </c>
      <c r="I34" s="99">
        <v>1</v>
      </c>
      <c r="J34" s="99">
        <v>51</v>
      </c>
      <c r="K34" s="99">
        <v>11</v>
      </c>
      <c r="L34" s="99">
        <v>3861.18</v>
      </c>
      <c r="M34" s="99">
        <f t="shared" ref="M34:M55" si="10">G34+I34+K34</f>
        <v>49</v>
      </c>
      <c r="N34" s="99">
        <f t="shared" ref="N34:N55" si="11">H34+J34+L34</f>
        <v>4439.18</v>
      </c>
      <c r="O34" s="99">
        <v>6</v>
      </c>
      <c r="P34" s="99">
        <v>43.65</v>
      </c>
      <c r="Q34" s="99">
        <v>614</v>
      </c>
      <c r="R34" s="99">
        <v>15248.36</v>
      </c>
      <c r="S34" s="99">
        <v>1376</v>
      </c>
      <c r="T34" s="99">
        <v>14871.48</v>
      </c>
      <c r="U34" s="99">
        <v>8923</v>
      </c>
      <c r="V34" s="99">
        <v>33377.67</v>
      </c>
      <c r="W34" s="99">
        <f t="shared" ref="W34:W55" si="12">U34+S34+Q34+O34+M34+E34</f>
        <v>10968</v>
      </c>
      <c r="X34" s="99">
        <f t="shared" ref="X34:X55" si="13">V34+T34+R34+P34+N34+F34</f>
        <v>67980.34</v>
      </c>
      <c r="Y34" s="100">
        <f t="shared" si="4"/>
        <v>707.90732062897007</v>
      </c>
      <c r="AA34" s="111"/>
      <c r="AB34" s="111"/>
    </row>
    <row r="35" spans="1:28" x14ac:dyDescent="0.2">
      <c r="A35" s="57">
        <v>29</v>
      </c>
      <c r="B35" s="58" t="s">
        <v>215</v>
      </c>
      <c r="C35" s="99">
        <v>32</v>
      </c>
      <c r="D35" s="99">
        <v>106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f t="shared" si="10"/>
        <v>0</v>
      </c>
      <c r="N35" s="99">
        <f t="shared" si="11"/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f t="shared" si="12"/>
        <v>0</v>
      </c>
      <c r="X35" s="99">
        <f t="shared" si="13"/>
        <v>0</v>
      </c>
      <c r="Y35" s="100">
        <f t="shared" si="4"/>
        <v>0</v>
      </c>
      <c r="AA35" s="111"/>
      <c r="AB35" s="111"/>
    </row>
    <row r="36" spans="1:28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f t="shared" si="10"/>
        <v>0</v>
      </c>
      <c r="N36" s="99">
        <f t="shared" si="11"/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>
        <v>0</v>
      </c>
      <c r="V36" s="99">
        <v>0</v>
      </c>
      <c r="W36" s="99">
        <f t="shared" si="12"/>
        <v>0</v>
      </c>
      <c r="X36" s="99">
        <f t="shared" si="13"/>
        <v>0</v>
      </c>
      <c r="Y36" s="100">
        <v>0</v>
      </c>
      <c r="AA36" s="111"/>
      <c r="AB36" s="111"/>
    </row>
    <row r="37" spans="1:28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f t="shared" si="10"/>
        <v>0</v>
      </c>
      <c r="N37" s="99">
        <f t="shared" si="11"/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f t="shared" si="12"/>
        <v>0</v>
      </c>
      <c r="X37" s="99">
        <f t="shared" si="13"/>
        <v>0</v>
      </c>
      <c r="Y37" s="100">
        <v>0</v>
      </c>
      <c r="AA37" s="111"/>
      <c r="AB37" s="111"/>
    </row>
    <row r="38" spans="1:28" x14ac:dyDescent="0.2">
      <c r="A38" s="57">
        <v>32</v>
      </c>
      <c r="B38" s="58" t="s">
        <v>51</v>
      </c>
      <c r="C38" s="99">
        <v>4</v>
      </c>
      <c r="D38" s="99">
        <v>35</v>
      </c>
      <c r="E38" s="99">
        <v>0</v>
      </c>
      <c r="F38" s="99">
        <v>0</v>
      </c>
      <c r="G38" s="99">
        <v>0</v>
      </c>
      <c r="H38" s="99">
        <v>0</v>
      </c>
      <c r="I38" s="99">
        <v>0</v>
      </c>
      <c r="J38" s="99">
        <v>0</v>
      </c>
      <c r="K38" s="99">
        <v>2</v>
      </c>
      <c r="L38" s="99">
        <v>75</v>
      </c>
      <c r="M38" s="99">
        <f t="shared" si="10"/>
        <v>2</v>
      </c>
      <c r="N38" s="99">
        <f t="shared" si="11"/>
        <v>75</v>
      </c>
      <c r="O38" s="99">
        <v>0</v>
      </c>
      <c r="P38" s="99">
        <v>0</v>
      </c>
      <c r="Q38" s="99">
        <v>1</v>
      </c>
      <c r="R38" s="99">
        <v>19</v>
      </c>
      <c r="S38" s="99">
        <v>65</v>
      </c>
      <c r="T38" s="99">
        <v>41.89</v>
      </c>
      <c r="U38" s="99">
        <v>3</v>
      </c>
      <c r="V38" s="99">
        <v>230</v>
      </c>
      <c r="W38" s="99">
        <f t="shared" si="12"/>
        <v>71</v>
      </c>
      <c r="X38" s="99">
        <f t="shared" si="13"/>
        <v>365.89</v>
      </c>
      <c r="Y38" s="100">
        <f t="shared" ref="Y38:Y43" si="14">X38*100/D38</f>
        <v>1045.4000000000001</v>
      </c>
      <c r="AA38" s="111"/>
      <c r="AB38" s="111"/>
    </row>
    <row r="39" spans="1:28" x14ac:dyDescent="0.2">
      <c r="A39" s="57">
        <v>33</v>
      </c>
      <c r="B39" s="58" t="s">
        <v>217</v>
      </c>
      <c r="C39" s="99">
        <v>4</v>
      </c>
      <c r="D39" s="99">
        <v>11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f t="shared" si="10"/>
        <v>0</v>
      </c>
      <c r="N39" s="99">
        <f t="shared" si="11"/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f t="shared" si="12"/>
        <v>0</v>
      </c>
      <c r="X39" s="99">
        <f t="shared" si="13"/>
        <v>0</v>
      </c>
      <c r="Y39" s="100">
        <f t="shared" si="14"/>
        <v>0</v>
      </c>
      <c r="AA39" s="111"/>
      <c r="AB39" s="111"/>
    </row>
    <row r="40" spans="1:28" x14ac:dyDescent="0.2">
      <c r="A40" s="57">
        <v>34</v>
      </c>
      <c r="B40" s="58" t="s">
        <v>218</v>
      </c>
      <c r="C40" s="99">
        <v>6</v>
      </c>
      <c r="D40" s="99">
        <v>71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f t="shared" si="10"/>
        <v>0</v>
      </c>
      <c r="N40" s="99">
        <f t="shared" si="11"/>
        <v>0</v>
      </c>
      <c r="O40" s="99">
        <v>0</v>
      </c>
      <c r="P40" s="99">
        <v>0</v>
      </c>
      <c r="Q40" s="99">
        <v>0</v>
      </c>
      <c r="R40" s="99">
        <v>0</v>
      </c>
      <c r="S40" s="99">
        <v>0</v>
      </c>
      <c r="T40" s="99">
        <v>0</v>
      </c>
      <c r="U40" s="99">
        <v>17</v>
      </c>
      <c r="V40" s="99">
        <v>35</v>
      </c>
      <c r="W40" s="99">
        <f t="shared" si="12"/>
        <v>17</v>
      </c>
      <c r="X40" s="99">
        <f t="shared" si="13"/>
        <v>35</v>
      </c>
      <c r="Y40" s="100">
        <f t="shared" si="14"/>
        <v>49.29577464788732</v>
      </c>
      <c r="AA40" s="111"/>
      <c r="AB40" s="111"/>
    </row>
    <row r="41" spans="1:28" x14ac:dyDescent="0.2">
      <c r="A41" s="57">
        <v>35</v>
      </c>
      <c r="B41" s="58" t="s">
        <v>219</v>
      </c>
      <c r="C41" s="99">
        <v>98</v>
      </c>
      <c r="D41" s="99">
        <v>1128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0</v>
      </c>
      <c r="L41" s="99">
        <v>0</v>
      </c>
      <c r="M41" s="99">
        <f t="shared" si="10"/>
        <v>0</v>
      </c>
      <c r="N41" s="99">
        <f t="shared" si="11"/>
        <v>0</v>
      </c>
      <c r="O41" s="99">
        <v>0</v>
      </c>
      <c r="P41" s="99">
        <v>0</v>
      </c>
      <c r="Q41" s="99">
        <v>11</v>
      </c>
      <c r="R41" s="99">
        <v>239</v>
      </c>
      <c r="S41" s="99">
        <v>10</v>
      </c>
      <c r="T41" s="99">
        <v>27.63</v>
      </c>
      <c r="U41" s="99">
        <v>2403</v>
      </c>
      <c r="V41" s="99">
        <v>4545.7299999999996</v>
      </c>
      <c r="W41" s="99">
        <f t="shared" si="12"/>
        <v>2424</v>
      </c>
      <c r="X41" s="99">
        <f t="shared" si="13"/>
        <v>4812.3599999999997</v>
      </c>
      <c r="Y41" s="100">
        <f t="shared" si="14"/>
        <v>426.62765957446805</v>
      </c>
      <c r="AA41" s="111"/>
      <c r="AB41" s="111"/>
    </row>
    <row r="42" spans="1:28" x14ac:dyDescent="0.2">
      <c r="A42" s="57">
        <v>36</v>
      </c>
      <c r="B42" s="58" t="s">
        <v>71</v>
      </c>
      <c r="C42" s="99">
        <v>2059</v>
      </c>
      <c r="D42" s="99">
        <v>30713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J42" s="99">
        <v>0</v>
      </c>
      <c r="K42" s="99">
        <v>0</v>
      </c>
      <c r="L42" s="99">
        <v>0</v>
      </c>
      <c r="M42" s="99">
        <f t="shared" si="10"/>
        <v>0</v>
      </c>
      <c r="N42" s="99">
        <f t="shared" si="11"/>
        <v>0</v>
      </c>
      <c r="O42" s="99">
        <v>9</v>
      </c>
      <c r="P42" s="99">
        <v>34</v>
      </c>
      <c r="Q42" s="99">
        <v>0</v>
      </c>
      <c r="R42" s="99">
        <v>0</v>
      </c>
      <c r="S42" s="99">
        <v>10515</v>
      </c>
      <c r="T42" s="99">
        <v>29961</v>
      </c>
      <c r="U42" s="99">
        <v>52408</v>
      </c>
      <c r="V42" s="99">
        <v>351877</v>
      </c>
      <c r="W42" s="99">
        <f t="shared" si="12"/>
        <v>62932</v>
      </c>
      <c r="X42" s="99">
        <f t="shared" si="13"/>
        <v>381872</v>
      </c>
      <c r="Y42" s="100">
        <f t="shared" si="14"/>
        <v>1243.3562335167519</v>
      </c>
      <c r="AA42" s="111"/>
      <c r="AB42" s="111"/>
    </row>
    <row r="43" spans="1:28" x14ac:dyDescent="0.2">
      <c r="A43" s="57">
        <v>37</v>
      </c>
      <c r="B43" s="58" t="s">
        <v>72</v>
      </c>
      <c r="C43" s="99">
        <v>2523</v>
      </c>
      <c r="D43" s="99">
        <v>33233</v>
      </c>
      <c r="E43" s="99">
        <v>0</v>
      </c>
      <c r="F43" s="99">
        <v>0</v>
      </c>
      <c r="G43" s="99">
        <v>2338</v>
      </c>
      <c r="H43" s="99">
        <v>1534</v>
      </c>
      <c r="I43" s="99">
        <v>16</v>
      </c>
      <c r="J43" s="99">
        <v>1835</v>
      </c>
      <c r="K43" s="99">
        <v>8</v>
      </c>
      <c r="L43" s="99">
        <v>5840</v>
      </c>
      <c r="M43" s="99">
        <f t="shared" si="10"/>
        <v>2362</v>
      </c>
      <c r="N43" s="99">
        <f t="shared" si="11"/>
        <v>9209</v>
      </c>
      <c r="O43" s="99">
        <v>0</v>
      </c>
      <c r="P43" s="99">
        <v>0</v>
      </c>
      <c r="Q43" s="99">
        <v>475</v>
      </c>
      <c r="R43" s="99">
        <v>16518</v>
      </c>
      <c r="S43" s="99">
        <v>0</v>
      </c>
      <c r="T43" s="99">
        <v>0</v>
      </c>
      <c r="U43" s="99">
        <v>38442</v>
      </c>
      <c r="V43" s="99">
        <v>181824</v>
      </c>
      <c r="W43" s="99">
        <f t="shared" si="12"/>
        <v>41279</v>
      </c>
      <c r="X43" s="99">
        <f t="shared" si="13"/>
        <v>207551</v>
      </c>
      <c r="Y43" s="100">
        <f t="shared" si="14"/>
        <v>624.5328438600186</v>
      </c>
      <c r="AA43" s="111"/>
      <c r="AB43" s="111"/>
    </row>
    <row r="44" spans="1:28" x14ac:dyDescent="0.2">
      <c r="A44" s="57">
        <v>38</v>
      </c>
      <c r="B44" s="58" t="s">
        <v>220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v>0</v>
      </c>
      <c r="L44" s="99">
        <v>0</v>
      </c>
      <c r="M44" s="99">
        <f t="shared" si="10"/>
        <v>0</v>
      </c>
      <c r="N44" s="99">
        <f t="shared" si="11"/>
        <v>0</v>
      </c>
      <c r="O44" s="99">
        <v>0</v>
      </c>
      <c r="P44" s="99">
        <v>0</v>
      </c>
      <c r="Q44" s="99">
        <v>0</v>
      </c>
      <c r="R44" s="99">
        <v>0</v>
      </c>
      <c r="S44" s="99">
        <v>0</v>
      </c>
      <c r="T44" s="99">
        <v>0</v>
      </c>
      <c r="U44" s="99">
        <v>0</v>
      </c>
      <c r="V44" s="99">
        <v>0</v>
      </c>
      <c r="W44" s="99">
        <f t="shared" si="12"/>
        <v>0</v>
      </c>
      <c r="X44" s="99">
        <f t="shared" si="13"/>
        <v>0</v>
      </c>
      <c r="Y44" s="100">
        <v>0</v>
      </c>
      <c r="AA44" s="111"/>
      <c r="AB44" s="111"/>
    </row>
    <row r="45" spans="1:28" x14ac:dyDescent="0.2">
      <c r="A45" s="57">
        <v>39</v>
      </c>
      <c r="B45" s="58" t="s">
        <v>221</v>
      </c>
      <c r="C45" s="99">
        <v>217</v>
      </c>
      <c r="D45" s="99">
        <v>1186</v>
      </c>
      <c r="E45" s="99">
        <v>1357.7550000000001</v>
      </c>
      <c r="F45" s="99">
        <v>56532.650300000008</v>
      </c>
      <c r="G45" s="99">
        <v>1941.66</v>
      </c>
      <c r="H45" s="99">
        <v>15462.6955</v>
      </c>
      <c r="I45" s="99">
        <v>722.2600000000001</v>
      </c>
      <c r="J45" s="99">
        <v>32952.549700000003</v>
      </c>
      <c r="K45" s="99">
        <v>19</v>
      </c>
      <c r="L45" s="99">
        <v>1228</v>
      </c>
      <c r="M45" s="99">
        <f t="shared" si="10"/>
        <v>2682.92</v>
      </c>
      <c r="N45" s="99">
        <f t="shared" si="11"/>
        <v>49643.245200000005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11860</v>
      </c>
      <c r="V45" s="99">
        <v>35552</v>
      </c>
      <c r="W45" s="99">
        <f t="shared" si="12"/>
        <v>15900.674999999999</v>
      </c>
      <c r="X45" s="99">
        <f t="shared" si="13"/>
        <v>141727.89550000001</v>
      </c>
      <c r="Y45" s="100">
        <f t="shared" ref="Y45:Y51" si="15">X45*100/D45</f>
        <v>11950.075505902192</v>
      </c>
      <c r="AA45" s="111"/>
      <c r="AB45" s="111"/>
    </row>
    <row r="46" spans="1:28" x14ac:dyDescent="0.2">
      <c r="A46" s="57">
        <v>40</v>
      </c>
      <c r="B46" s="58" t="s">
        <v>222</v>
      </c>
      <c r="C46" s="99">
        <v>16</v>
      </c>
      <c r="D46" s="99">
        <v>175</v>
      </c>
      <c r="E46" s="99">
        <v>0</v>
      </c>
      <c r="F46" s="99">
        <v>0</v>
      </c>
      <c r="G46" s="99">
        <v>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f t="shared" si="10"/>
        <v>0</v>
      </c>
      <c r="N46" s="99">
        <f t="shared" si="11"/>
        <v>0</v>
      </c>
      <c r="O46" s="99">
        <v>0</v>
      </c>
      <c r="P46" s="99">
        <v>0</v>
      </c>
      <c r="Q46" s="99">
        <v>0</v>
      </c>
      <c r="R46" s="99">
        <v>0</v>
      </c>
      <c r="S46" s="99">
        <v>4</v>
      </c>
      <c r="T46" s="99">
        <v>13</v>
      </c>
      <c r="U46" s="99">
        <v>0</v>
      </c>
      <c r="V46" s="99">
        <v>0</v>
      </c>
      <c r="W46" s="99">
        <f t="shared" si="12"/>
        <v>4</v>
      </c>
      <c r="X46" s="99">
        <f t="shared" si="13"/>
        <v>13</v>
      </c>
      <c r="Y46" s="100">
        <f t="shared" si="15"/>
        <v>7.4285714285714288</v>
      </c>
      <c r="AA46" s="111"/>
      <c r="AB46" s="111"/>
    </row>
    <row r="47" spans="1:28" x14ac:dyDescent="0.2">
      <c r="A47" s="57">
        <v>41</v>
      </c>
      <c r="B47" s="58" t="s">
        <v>223</v>
      </c>
      <c r="C47" s="99">
        <v>9</v>
      </c>
      <c r="D47" s="99">
        <v>93</v>
      </c>
      <c r="E47" s="99">
        <v>0</v>
      </c>
      <c r="F47" s="99">
        <v>0</v>
      </c>
      <c r="G47" s="99">
        <v>0</v>
      </c>
      <c r="H47" s="99">
        <v>0</v>
      </c>
      <c r="I47" s="99">
        <v>3</v>
      </c>
      <c r="J47" s="99">
        <v>209.32</v>
      </c>
      <c r="K47" s="99">
        <v>1</v>
      </c>
      <c r="L47" s="99">
        <v>801.46</v>
      </c>
      <c r="M47" s="99">
        <f t="shared" si="10"/>
        <v>4</v>
      </c>
      <c r="N47" s="99">
        <f t="shared" si="11"/>
        <v>1010.78</v>
      </c>
      <c r="O47" s="99">
        <v>0</v>
      </c>
      <c r="P47" s="99">
        <v>0</v>
      </c>
      <c r="Q47" s="99">
        <v>12</v>
      </c>
      <c r="R47" s="99">
        <v>334.2</v>
      </c>
      <c r="S47" s="99">
        <v>10</v>
      </c>
      <c r="T47" s="99">
        <v>36</v>
      </c>
      <c r="U47" s="99">
        <v>85</v>
      </c>
      <c r="V47" s="99">
        <v>529.16999999999996</v>
      </c>
      <c r="W47" s="99">
        <f t="shared" si="12"/>
        <v>111</v>
      </c>
      <c r="X47" s="99">
        <f t="shared" si="13"/>
        <v>1910.1499999999999</v>
      </c>
      <c r="Y47" s="100">
        <f t="shared" si="15"/>
        <v>2053.9247311827958</v>
      </c>
      <c r="AA47" s="111"/>
      <c r="AB47" s="111"/>
    </row>
    <row r="48" spans="1:28" x14ac:dyDescent="0.2">
      <c r="A48" s="57">
        <v>42</v>
      </c>
      <c r="B48" s="58" t="s">
        <v>224</v>
      </c>
      <c r="C48" s="99">
        <v>50</v>
      </c>
      <c r="D48" s="99">
        <v>530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f t="shared" si="10"/>
        <v>0</v>
      </c>
      <c r="N48" s="99">
        <f t="shared" si="11"/>
        <v>0</v>
      </c>
      <c r="O48" s="99">
        <v>0</v>
      </c>
      <c r="P48" s="99">
        <v>0</v>
      </c>
      <c r="Q48" s="99">
        <v>0</v>
      </c>
      <c r="R48" s="99">
        <v>0</v>
      </c>
      <c r="S48" s="99">
        <v>0</v>
      </c>
      <c r="T48" s="99">
        <v>0</v>
      </c>
      <c r="U48" s="99">
        <v>0</v>
      </c>
      <c r="V48" s="99">
        <v>0</v>
      </c>
      <c r="W48" s="99">
        <f t="shared" si="12"/>
        <v>0</v>
      </c>
      <c r="X48" s="99">
        <f t="shared" si="13"/>
        <v>0</v>
      </c>
      <c r="Y48" s="100">
        <f t="shared" si="15"/>
        <v>0</v>
      </c>
      <c r="AA48" s="111"/>
      <c r="AB48" s="111"/>
    </row>
    <row r="49" spans="1:28" x14ac:dyDescent="0.2">
      <c r="A49" s="57">
        <v>43</v>
      </c>
      <c r="B49" s="58" t="s">
        <v>73</v>
      </c>
      <c r="C49" s="99">
        <v>75</v>
      </c>
      <c r="D49" s="99">
        <v>701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f t="shared" si="10"/>
        <v>0</v>
      </c>
      <c r="N49" s="99">
        <f t="shared" si="11"/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2356</v>
      </c>
      <c r="V49" s="99">
        <v>58466</v>
      </c>
      <c r="W49" s="99">
        <f t="shared" si="12"/>
        <v>2356</v>
      </c>
      <c r="X49" s="99">
        <f t="shared" si="13"/>
        <v>58466</v>
      </c>
      <c r="Y49" s="100">
        <f t="shared" si="15"/>
        <v>8340.370898716119</v>
      </c>
      <c r="AA49" s="111"/>
      <c r="AB49" s="111"/>
    </row>
    <row r="50" spans="1:28" x14ac:dyDescent="0.2">
      <c r="A50" s="57">
        <v>44</v>
      </c>
      <c r="B50" s="58" t="s">
        <v>225</v>
      </c>
      <c r="C50" s="99">
        <v>16</v>
      </c>
      <c r="D50" s="99">
        <v>177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f t="shared" si="10"/>
        <v>0</v>
      </c>
      <c r="N50" s="99">
        <f t="shared" si="11"/>
        <v>0</v>
      </c>
      <c r="O50" s="99">
        <v>0</v>
      </c>
      <c r="P50" s="99">
        <v>0</v>
      </c>
      <c r="Q50" s="99">
        <v>1</v>
      </c>
      <c r="R50" s="99">
        <v>31</v>
      </c>
      <c r="S50" s="99">
        <v>0</v>
      </c>
      <c r="T50" s="99">
        <v>0</v>
      </c>
      <c r="U50" s="99">
        <v>42</v>
      </c>
      <c r="V50" s="99">
        <v>2598</v>
      </c>
      <c r="W50" s="99">
        <f t="shared" si="12"/>
        <v>43</v>
      </c>
      <c r="X50" s="99">
        <f t="shared" si="13"/>
        <v>2629</v>
      </c>
      <c r="Y50" s="100">
        <f t="shared" si="15"/>
        <v>1485.3107344632767</v>
      </c>
      <c r="AA50" s="111"/>
      <c r="AB50" s="111"/>
    </row>
    <row r="51" spans="1:28" x14ac:dyDescent="0.2">
      <c r="A51" s="57">
        <v>45</v>
      </c>
      <c r="B51" s="58" t="s">
        <v>226</v>
      </c>
      <c r="C51" s="99">
        <v>4</v>
      </c>
      <c r="D51" s="99">
        <v>11</v>
      </c>
      <c r="E51" s="99">
        <v>38</v>
      </c>
      <c r="F51" s="99">
        <v>250</v>
      </c>
      <c r="G51" s="99">
        <v>0</v>
      </c>
      <c r="H51" s="99">
        <v>0</v>
      </c>
      <c r="I51" s="99">
        <v>0</v>
      </c>
      <c r="J51" s="99">
        <v>0</v>
      </c>
      <c r="K51" s="99">
        <v>0</v>
      </c>
      <c r="L51" s="99">
        <v>0</v>
      </c>
      <c r="M51" s="99">
        <f t="shared" si="10"/>
        <v>0</v>
      </c>
      <c r="N51" s="99">
        <f t="shared" si="11"/>
        <v>0</v>
      </c>
      <c r="O51" s="99">
        <v>0</v>
      </c>
      <c r="P51" s="99">
        <v>0</v>
      </c>
      <c r="Q51" s="99">
        <v>2</v>
      </c>
      <c r="R51" s="99">
        <v>9</v>
      </c>
      <c r="S51" s="99">
        <v>63</v>
      </c>
      <c r="T51" s="99">
        <v>155</v>
      </c>
      <c r="U51" s="99">
        <v>27</v>
      </c>
      <c r="V51" s="99">
        <v>5568</v>
      </c>
      <c r="W51" s="99">
        <f t="shared" si="12"/>
        <v>130</v>
      </c>
      <c r="X51" s="99">
        <f t="shared" si="13"/>
        <v>5982</v>
      </c>
      <c r="Y51" s="100">
        <f t="shared" si="15"/>
        <v>54381.818181818184</v>
      </c>
      <c r="AA51" s="111"/>
      <c r="AB51" s="111"/>
    </row>
    <row r="52" spans="1:28" s="108" customFormat="1" x14ac:dyDescent="0.2">
      <c r="A52" s="57">
        <v>46</v>
      </c>
      <c r="B52" s="58" t="s">
        <v>227</v>
      </c>
      <c r="C52" s="99">
        <v>12</v>
      </c>
      <c r="D52" s="99">
        <v>145</v>
      </c>
      <c r="E52" s="99">
        <v>2</v>
      </c>
      <c r="F52" s="99">
        <v>6</v>
      </c>
      <c r="G52" s="99">
        <v>4</v>
      </c>
      <c r="H52" s="99">
        <v>15</v>
      </c>
      <c r="I52" s="99">
        <v>4</v>
      </c>
      <c r="J52" s="99">
        <v>65</v>
      </c>
      <c r="K52" s="99">
        <v>2</v>
      </c>
      <c r="L52" s="99">
        <v>22</v>
      </c>
      <c r="M52" s="99">
        <f t="shared" si="10"/>
        <v>10</v>
      </c>
      <c r="N52" s="99">
        <f t="shared" si="11"/>
        <v>102</v>
      </c>
      <c r="O52" s="99">
        <v>0</v>
      </c>
      <c r="P52" s="99">
        <v>0</v>
      </c>
      <c r="Q52" s="99">
        <v>0</v>
      </c>
      <c r="R52" s="99">
        <v>0</v>
      </c>
      <c r="S52" s="99">
        <v>0</v>
      </c>
      <c r="T52" s="99">
        <v>0</v>
      </c>
      <c r="U52" s="99">
        <v>0</v>
      </c>
      <c r="V52" s="99">
        <v>0</v>
      </c>
      <c r="W52" s="99">
        <f t="shared" si="12"/>
        <v>12</v>
      </c>
      <c r="X52" s="99">
        <f t="shared" si="13"/>
        <v>108</v>
      </c>
      <c r="Y52" s="100">
        <v>0</v>
      </c>
      <c r="AA52" s="111"/>
      <c r="AB52" s="111"/>
    </row>
    <row r="53" spans="1:28" x14ac:dyDescent="0.2">
      <c r="A53" s="57">
        <v>47</v>
      </c>
      <c r="B53" s="5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f t="shared" si="10"/>
        <v>0</v>
      </c>
      <c r="N53" s="99">
        <f t="shared" si="11"/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0</v>
      </c>
      <c r="U53" s="99">
        <v>0</v>
      </c>
      <c r="V53" s="99">
        <v>0</v>
      </c>
      <c r="W53" s="99">
        <f t="shared" si="12"/>
        <v>0</v>
      </c>
      <c r="X53" s="99">
        <f t="shared" si="13"/>
        <v>0</v>
      </c>
      <c r="Y53" s="100">
        <v>0</v>
      </c>
      <c r="AA53" s="111"/>
      <c r="AB53" s="111"/>
    </row>
    <row r="54" spans="1:28" x14ac:dyDescent="0.2">
      <c r="A54" s="57">
        <v>48</v>
      </c>
      <c r="B54" s="5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f t="shared" si="10"/>
        <v>0</v>
      </c>
      <c r="N54" s="99">
        <f t="shared" si="11"/>
        <v>0</v>
      </c>
      <c r="O54" s="99">
        <v>0</v>
      </c>
      <c r="P54" s="99">
        <v>0</v>
      </c>
      <c r="Q54" s="99">
        <v>0</v>
      </c>
      <c r="R54" s="99">
        <v>0</v>
      </c>
      <c r="S54" s="99">
        <v>0</v>
      </c>
      <c r="T54" s="99">
        <v>0</v>
      </c>
      <c r="U54" s="99">
        <v>0</v>
      </c>
      <c r="V54" s="99">
        <v>0</v>
      </c>
      <c r="W54" s="99">
        <f t="shared" si="12"/>
        <v>0</v>
      </c>
      <c r="X54" s="99">
        <f t="shared" si="13"/>
        <v>0</v>
      </c>
      <c r="Y54" s="100">
        <v>0</v>
      </c>
      <c r="AA54" s="111"/>
      <c r="AB54" s="111"/>
    </row>
    <row r="55" spans="1:28" x14ac:dyDescent="0.2">
      <c r="A55" s="57">
        <v>49</v>
      </c>
      <c r="B55" s="58" t="s">
        <v>76</v>
      </c>
      <c r="C55" s="99">
        <v>107</v>
      </c>
      <c r="D55" s="99">
        <v>387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f t="shared" si="10"/>
        <v>0</v>
      </c>
      <c r="N55" s="99">
        <f t="shared" si="11"/>
        <v>0</v>
      </c>
      <c r="O55" s="99">
        <v>0</v>
      </c>
      <c r="P55" s="99">
        <v>0</v>
      </c>
      <c r="Q55" s="99">
        <v>0</v>
      </c>
      <c r="R55" s="99">
        <v>0</v>
      </c>
      <c r="S55" s="99">
        <v>33</v>
      </c>
      <c r="T55" s="99">
        <v>83</v>
      </c>
      <c r="U55" s="99">
        <v>84</v>
      </c>
      <c r="V55" s="99">
        <v>5237</v>
      </c>
      <c r="W55" s="99">
        <f t="shared" si="12"/>
        <v>117</v>
      </c>
      <c r="X55" s="99">
        <f t="shared" si="13"/>
        <v>5320</v>
      </c>
      <c r="Y55" s="100">
        <f t="shared" ref="Y55:Y60" si="16">X55*100/D55</f>
        <v>1374.6770025839794</v>
      </c>
      <c r="AA55" s="111"/>
      <c r="AB55" s="111"/>
    </row>
    <row r="56" spans="1:28" s="108" customFormat="1" x14ac:dyDescent="0.2">
      <c r="A56" s="349"/>
      <c r="B56" s="60" t="s">
        <v>289</v>
      </c>
      <c r="C56" s="106">
        <f>SUM(C34:C55)</f>
        <v>7022</v>
      </c>
      <c r="D56" s="106">
        <f t="shared" ref="D56:V56" si="17">SUM(D34:D55)</f>
        <v>78305</v>
      </c>
      <c r="E56" s="106">
        <f t="shared" si="17"/>
        <v>1397.7550000000001</v>
      </c>
      <c r="F56" s="106">
        <f t="shared" si="17"/>
        <v>56788.650300000008</v>
      </c>
      <c r="G56" s="106">
        <f t="shared" si="17"/>
        <v>4320.66</v>
      </c>
      <c r="H56" s="106">
        <f t="shared" si="17"/>
        <v>17538.695500000002</v>
      </c>
      <c r="I56" s="106">
        <f t="shared" si="17"/>
        <v>746.2600000000001</v>
      </c>
      <c r="J56" s="106">
        <f t="shared" si="17"/>
        <v>35112.869700000003</v>
      </c>
      <c r="K56" s="106">
        <f t="shared" si="17"/>
        <v>43</v>
      </c>
      <c r="L56" s="106">
        <f t="shared" si="17"/>
        <v>11827.64</v>
      </c>
      <c r="M56" s="106">
        <f t="shared" ref="M56" si="18">SUM(M34:M55)</f>
        <v>5109.92</v>
      </c>
      <c r="N56" s="106">
        <f t="shared" ref="N56" si="19">SUM(N34:N55)</f>
        <v>64479.205200000004</v>
      </c>
      <c r="O56" s="106">
        <f t="shared" si="17"/>
        <v>15</v>
      </c>
      <c r="P56" s="106">
        <f t="shared" si="17"/>
        <v>77.650000000000006</v>
      </c>
      <c r="Q56" s="106">
        <f t="shared" si="17"/>
        <v>1116</v>
      </c>
      <c r="R56" s="106">
        <f t="shared" si="17"/>
        <v>32398.560000000001</v>
      </c>
      <c r="S56" s="106">
        <f t="shared" si="17"/>
        <v>12076</v>
      </c>
      <c r="T56" s="106">
        <f t="shared" si="17"/>
        <v>45189</v>
      </c>
      <c r="U56" s="106">
        <f t="shared" si="17"/>
        <v>116650</v>
      </c>
      <c r="V56" s="106">
        <f t="shared" si="17"/>
        <v>679839.57000000007</v>
      </c>
      <c r="W56" s="106">
        <f t="shared" ref="W56" si="20">SUM(W34:W55)</f>
        <v>136364.67499999999</v>
      </c>
      <c r="X56" s="106">
        <f t="shared" ref="X56" si="21">SUM(X34:X55)</f>
        <v>878772.63549999997</v>
      </c>
      <c r="Y56" s="97">
        <f t="shared" si="16"/>
        <v>1122.2433248196155</v>
      </c>
      <c r="AA56" s="111"/>
      <c r="AB56" s="111"/>
    </row>
    <row r="57" spans="1:28" x14ac:dyDescent="0.2">
      <c r="A57" s="57">
        <v>50</v>
      </c>
      <c r="B57" s="58" t="s">
        <v>46</v>
      </c>
      <c r="C57" s="99">
        <v>1666</v>
      </c>
      <c r="D57" s="99">
        <v>159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f t="shared" ref="M57:N59" si="22">G57+I57+K57</f>
        <v>0</v>
      </c>
      <c r="N57" s="99">
        <f t="shared" si="22"/>
        <v>0</v>
      </c>
      <c r="O57" s="99">
        <v>0</v>
      </c>
      <c r="P57" s="99">
        <v>0</v>
      </c>
      <c r="Q57" s="99">
        <v>69</v>
      </c>
      <c r="R57" s="99">
        <v>795.64</v>
      </c>
      <c r="S57" s="99">
        <v>885</v>
      </c>
      <c r="T57" s="99">
        <v>1960.95</v>
      </c>
      <c r="U57" s="99">
        <v>4236</v>
      </c>
      <c r="V57" s="99">
        <v>9044.3700000000008</v>
      </c>
      <c r="W57" s="99">
        <f t="shared" ref="W57:X59" si="23">U57+S57+Q57+O57+M57+E57</f>
        <v>5190</v>
      </c>
      <c r="X57" s="99">
        <f t="shared" si="23"/>
        <v>11800.960000000001</v>
      </c>
      <c r="Y57" s="100">
        <f t="shared" si="16"/>
        <v>7421.9874213836474</v>
      </c>
      <c r="AA57" s="111"/>
      <c r="AB57" s="111"/>
    </row>
    <row r="58" spans="1:28" s="108" customFormat="1" x14ac:dyDescent="0.2">
      <c r="A58" s="57">
        <v>51</v>
      </c>
      <c r="B58" s="58" t="s">
        <v>229</v>
      </c>
      <c r="C58" s="99">
        <v>1814</v>
      </c>
      <c r="D58" s="99">
        <v>415</v>
      </c>
      <c r="E58" s="99">
        <v>0</v>
      </c>
      <c r="F58" s="99">
        <v>0</v>
      </c>
      <c r="G58" s="99">
        <v>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f t="shared" si="22"/>
        <v>0</v>
      </c>
      <c r="N58" s="99">
        <f t="shared" si="22"/>
        <v>0</v>
      </c>
      <c r="O58" s="99">
        <v>0</v>
      </c>
      <c r="P58" s="99">
        <v>0</v>
      </c>
      <c r="Q58" s="99">
        <v>0</v>
      </c>
      <c r="R58" s="99">
        <v>0</v>
      </c>
      <c r="S58" s="99">
        <v>0</v>
      </c>
      <c r="T58" s="99">
        <v>0</v>
      </c>
      <c r="U58" s="99">
        <f>110093-96422</f>
        <v>13671</v>
      </c>
      <c r="V58" s="99">
        <v>10671</v>
      </c>
      <c r="W58" s="99">
        <f t="shared" si="23"/>
        <v>13671</v>
      </c>
      <c r="X58" s="99">
        <f t="shared" si="23"/>
        <v>10671</v>
      </c>
      <c r="Y58" s="100">
        <f t="shared" si="16"/>
        <v>2571.3253012048194</v>
      </c>
      <c r="AA58" s="111"/>
      <c r="AB58" s="111"/>
    </row>
    <row r="59" spans="1:28" s="108" customFormat="1" x14ac:dyDescent="0.2">
      <c r="A59" s="57">
        <v>53</v>
      </c>
      <c r="B59" s="58" t="s">
        <v>52</v>
      </c>
      <c r="C59" s="99">
        <v>1105</v>
      </c>
      <c r="D59" s="99">
        <v>861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f t="shared" si="22"/>
        <v>0</v>
      </c>
      <c r="N59" s="99">
        <f t="shared" si="22"/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0</v>
      </c>
      <c r="U59" s="99">
        <v>5621</v>
      </c>
      <c r="V59" s="99">
        <v>11575.33</v>
      </c>
      <c r="W59" s="99">
        <f t="shared" si="23"/>
        <v>5621</v>
      </c>
      <c r="X59" s="99">
        <f t="shared" si="23"/>
        <v>11575.33</v>
      </c>
      <c r="Y59" s="100">
        <f t="shared" si="16"/>
        <v>1344.4053426248547</v>
      </c>
      <c r="AA59" s="111"/>
      <c r="AB59" s="111"/>
    </row>
    <row r="60" spans="1:28" s="108" customFormat="1" x14ac:dyDescent="0.2">
      <c r="A60" s="349"/>
      <c r="B60" s="60" t="s">
        <v>295</v>
      </c>
      <c r="C60" s="106">
        <f>SUM(C57:C59)</f>
        <v>4585</v>
      </c>
      <c r="D60" s="106">
        <f t="shared" ref="D60:V60" si="24">SUM(D57:D59)</f>
        <v>1435</v>
      </c>
      <c r="E60" s="106">
        <f t="shared" si="24"/>
        <v>0</v>
      </c>
      <c r="F60" s="106">
        <f t="shared" si="24"/>
        <v>0</v>
      </c>
      <c r="G60" s="106">
        <f t="shared" si="24"/>
        <v>0</v>
      </c>
      <c r="H60" s="106">
        <f t="shared" si="24"/>
        <v>0</v>
      </c>
      <c r="I60" s="106">
        <f t="shared" si="24"/>
        <v>0</v>
      </c>
      <c r="J60" s="106">
        <f t="shared" si="24"/>
        <v>0</v>
      </c>
      <c r="K60" s="106">
        <f t="shared" si="24"/>
        <v>0</v>
      </c>
      <c r="L60" s="106">
        <f t="shared" si="24"/>
        <v>0</v>
      </c>
      <c r="M60" s="106">
        <f t="shared" ref="M60" si="25">SUM(M57:M59)</f>
        <v>0</v>
      </c>
      <c r="N60" s="106">
        <f t="shared" ref="N60" si="26">SUM(N57:N59)</f>
        <v>0</v>
      </c>
      <c r="O60" s="106">
        <f t="shared" si="24"/>
        <v>0</v>
      </c>
      <c r="P60" s="106">
        <f t="shared" si="24"/>
        <v>0</v>
      </c>
      <c r="Q60" s="106">
        <f t="shared" si="24"/>
        <v>69</v>
      </c>
      <c r="R60" s="106">
        <f t="shared" si="24"/>
        <v>795.64</v>
      </c>
      <c r="S60" s="106">
        <f t="shared" si="24"/>
        <v>885</v>
      </c>
      <c r="T60" s="106">
        <f t="shared" si="24"/>
        <v>1960.95</v>
      </c>
      <c r="U60" s="106">
        <f t="shared" si="24"/>
        <v>23528</v>
      </c>
      <c r="V60" s="106">
        <f t="shared" si="24"/>
        <v>31290.700000000004</v>
      </c>
      <c r="W60" s="106">
        <f t="shared" ref="W60" si="27">SUM(W57:W59)</f>
        <v>24482</v>
      </c>
      <c r="X60" s="106">
        <f t="shared" ref="X60" si="28">SUM(X57:X59)</f>
        <v>34047.29</v>
      </c>
      <c r="Y60" s="97">
        <f t="shared" si="16"/>
        <v>2372.6334494773519</v>
      </c>
      <c r="AA60" s="111"/>
      <c r="AB60" s="111"/>
    </row>
    <row r="61" spans="1:28" x14ac:dyDescent="0.2">
      <c r="A61" s="57">
        <v>53</v>
      </c>
      <c r="B61" s="58" t="s">
        <v>290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f>G61+I61+K61</f>
        <v>0</v>
      </c>
      <c r="N61" s="99">
        <f>H61+J61+L61</f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0</v>
      </c>
      <c r="U61" s="99">
        <v>0</v>
      </c>
      <c r="V61" s="99">
        <v>0</v>
      </c>
      <c r="W61" s="99">
        <f>U61+S61+Q61+O61+M61+E61</f>
        <v>0</v>
      </c>
      <c r="X61" s="99">
        <f>V61+T61+R61+P61+N61+F61</f>
        <v>0</v>
      </c>
      <c r="Y61" s="100">
        <v>0</v>
      </c>
      <c r="AA61" s="111"/>
      <c r="AB61" s="111"/>
    </row>
    <row r="62" spans="1:28" s="108" customFormat="1" x14ac:dyDescent="0.2">
      <c r="A62" s="349"/>
      <c r="B62" s="60" t="s">
        <v>291</v>
      </c>
      <c r="C62" s="106">
        <f>C61</f>
        <v>0</v>
      </c>
      <c r="D62" s="106">
        <f t="shared" ref="D62:V62" si="29">D61</f>
        <v>0</v>
      </c>
      <c r="E62" s="106">
        <f t="shared" si="29"/>
        <v>0</v>
      </c>
      <c r="F62" s="106">
        <f t="shared" si="29"/>
        <v>0</v>
      </c>
      <c r="G62" s="106">
        <f t="shared" si="29"/>
        <v>0</v>
      </c>
      <c r="H62" s="106">
        <f t="shared" si="29"/>
        <v>0</v>
      </c>
      <c r="I62" s="106">
        <f t="shared" si="29"/>
        <v>0</v>
      </c>
      <c r="J62" s="106">
        <f t="shared" si="29"/>
        <v>0</v>
      </c>
      <c r="K62" s="106">
        <f t="shared" si="29"/>
        <v>0</v>
      </c>
      <c r="L62" s="106">
        <f t="shared" si="29"/>
        <v>0</v>
      </c>
      <c r="M62" s="106">
        <f t="shared" ref="M62" si="30">M61</f>
        <v>0</v>
      </c>
      <c r="N62" s="106">
        <f t="shared" ref="N62" si="31">N61</f>
        <v>0</v>
      </c>
      <c r="O62" s="106">
        <f t="shared" si="29"/>
        <v>0</v>
      </c>
      <c r="P62" s="106">
        <f t="shared" si="29"/>
        <v>0</v>
      </c>
      <c r="Q62" s="106">
        <f t="shared" si="29"/>
        <v>0</v>
      </c>
      <c r="R62" s="106">
        <f t="shared" si="29"/>
        <v>0</v>
      </c>
      <c r="S62" s="106">
        <f t="shared" si="29"/>
        <v>0</v>
      </c>
      <c r="T62" s="106">
        <f t="shared" si="29"/>
        <v>0</v>
      </c>
      <c r="U62" s="106">
        <f t="shared" si="29"/>
        <v>0</v>
      </c>
      <c r="V62" s="106">
        <f t="shared" si="29"/>
        <v>0</v>
      </c>
      <c r="W62" s="106">
        <f t="shared" ref="W62" si="32">W61</f>
        <v>0</v>
      </c>
      <c r="X62" s="106">
        <f t="shared" ref="X62" si="33">X61</f>
        <v>0</v>
      </c>
      <c r="Y62" s="97">
        <v>0</v>
      </c>
      <c r="AA62" s="111"/>
      <c r="AB62" s="111"/>
    </row>
    <row r="63" spans="1:28" s="108" customFormat="1" x14ac:dyDescent="0.2">
      <c r="A63" s="349"/>
      <c r="B63" s="60" t="s">
        <v>292</v>
      </c>
      <c r="C63" s="106">
        <f>C62+C60+C56+C33</f>
        <v>57369</v>
      </c>
      <c r="D63" s="106">
        <f t="shared" ref="D63:V63" si="34">D62+D60+D56+D33</f>
        <v>325152</v>
      </c>
      <c r="E63" s="106">
        <f t="shared" si="34"/>
        <v>7169.7550000000001</v>
      </c>
      <c r="F63" s="106">
        <f t="shared" si="34"/>
        <v>96490.950300000011</v>
      </c>
      <c r="G63" s="106">
        <f t="shared" si="34"/>
        <v>5031.66</v>
      </c>
      <c r="H63" s="106">
        <f t="shared" si="34"/>
        <v>21635.965500000002</v>
      </c>
      <c r="I63" s="106">
        <f t="shared" si="34"/>
        <v>914.2600000000001</v>
      </c>
      <c r="J63" s="106">
        <f t="shared" si="34"/>
        <v>89521.309700000013</v>
      </c>
      <c r="K63" s="106">
        <f t="shared" si="34"/>
        <v>217</v>
      </c>
      <c r="L63" s="106">
        <f t="shared" si="34"/>
        <v>39631.64</v>
      </c>
      <c r="M63" s="106">
        <f t="shared" ref="M63" si="35">M62+M60+M56+M33</f>
        <v>6162.92</v>
      </c>
      <c r="N63" s="106">
        <f t="shared" ref="N63" si="36">N62+N60+N56+N33</f>
        <v>150788.91519999999</v>
      </c>
      <c r="O63" s="106">
        <f t="shared" si="34"/>
        <v>1552</v>
      </c>
      <c r="P63" s="106">
        <f t="shared" si="34"/>
        <v>8864.15</v>
      </c>
      <c r="Q63" s="106">
        <f t="shared" si="34"/>
        <v>9839</v>
      </c>
      <c r="R63" s="106">
        <f t="shared" si="34"/>
        <v>145187.20000000001</v>
      </c>
      <c r="S63" s="106">
        <f t="shared" si="34"/>
        <v>95633</v>
      </c>
      <c r="T63" s="106">
        <f t="shared" si="34"/>
        <v>335292.19</v>
      </c>
      <c r="U63" s="106">
        <f t="shared" si="34"/>
        <v>179359</v>
      </c>
      <c r="V63" s="106">
        <f t="shared" si="34"/>
        <v>1315859.3500000001</v>
      </c>
      <c r="W63" s="106">
        <f t="shared" ref="W63" si="37">W62+W60+W56+W33</f>
        <v>299715.67499999999</v>
      </c>
      <c r="X63" s="106">
        <f t="shared" ref="X63" si="38">X62+X60+X56+X33</f>
        <v>2052482.7555</v>
      </c>
      <c r="Y63" s="97">
        <f>X63*100/D63</f>
        <v>631.23793041408328</v>
      </c>
      <c r="AA63" s="111"/>
      <c r="AB63" s="111"/>
    </row>
    <row r="64" spans="1:28" s="108" customFormat="1" x14ac:dyDescent="0.2">
      <c r="C64" s="112"/>
      <c r="D64" s="112"/>
      <c r="E64" s="112" t="s">
        <v>1224</v>
      </c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97"/>
    </row>
    <row r="65" spans="3:25" hidden="1" x14ac:dyDescent="0.2">
      <c r="C65" s="111">
        <f>'ACP_PS_11(ii)'!O63</f>
        <v>3424775.0428370791</v>
      </c>
      <c r="D65" s="111">
        <f>'ACP_PS_11(ii)'!P63</f>
        <v>10910445.26</v>
      </c>
      <c r="W65" s="112">
        <f>'ACP_PS_11(ii)'!Q63</f>
        <v>3180153</v>
      </c>
      <c r="X65" s="112">
        <f>'ACP_PS_11(ii)'!R63</f>
        <v>6129707.6699999999</v>
      </c>
      <c r="Y65" s="97"/>
    </row>
    <row r="66" spans="3:25" hidden="1" x14ac:dyDescent="0.2">
      <c r="C66" s="112">
        <f>C63+C65</f>
        <v>3482144.0428370791</v>
      </c>
      <c r="D66" s="358">
        <f>D63+D65</f>
        <v>11235597.26</v>
      </c>
      <c r="W66" s="112">
        <f>W63+W65</f>
        <v>3479868.6749999998</v>
      </c>
      <c r="X66" s="358">
        <f>X63+X65</f>
        <v>8182190.4254999999</v>
      </c>
      <c r="Y66" s="359">
        <f>X66*100/D66</f>
        <v>72.823813778280623</v>
      </c>
    </row>
    <row r="67" spans="3:25" hidden="1" x14ac:dyDescent="0.2"/>
    <row r="74" spans="3:25" s="108" customFormat="1" x14ac:dyDescent="0.2"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</row>
  </sheetData>
  <mergeCells count="18">
    <mergeCell ref="A1:X1"/>
    <mergeCell ref="A3:A5"/>
    <mergeCell ref="B3:B5"/>
    <mergeCell ref="C3:D3"/>
    <mergeCell ref="E3:F4"/>
    <mergeCell ref="G3:N3"/>
    <mergeCell ref="O3:P4"/>
    <mergeCell ref="Q3:R4"/>
    <mergeCell ref="S3:T4"/>
    <mergeCell ref="U3:V4"/>
    <mergeCell ref="Y3:Y5"/>
    <mergeCell ref="C4:C5"/>
    <mergeCell ref="D4:D5"/>
    <mergeCell ref="G4:H4"/>
    <mergeCell ref="I4:J4"/>
    <mergeCell ref="K4:L4"/>
    <mergeCell ref="M4:N4"/>
    <mergeCell ref="W3:X4"/>
  </mergeCells>
  <conditionalFormatting sqref="B6">
    <cfRule type="duplicateValues" dxfId="104" priority="3"/>
  </conditionalFormatting>
  <conditionalFormatting sqref="B22">
    <cfRule type="duplicateValues" dxfId="103" priority="4"/>
  </conditionalFormatting>
  <conditionalFormatting sqref="B33:B34 B26:B30">
    <cfRule type="duplicateValues" dxfId="102" priority="5"/>
  </conditionalFormatting>
  <conditionalFormatting sqref="B52">
    <cfRule type="duplicateValues" dxfId="101" priority="6"/>
  </conditionalFormatting>
  <conditionalFormatting sqref="B56">
    <cfRule type="duplicateValues" dxfId="100" priority="7"/>
  </conditionalFormatting>
  <conditionalFormatting sqref="B58">
    <cfRule type="duplicateValues" dxfId="99" priority="8"/>
  </conditionalFormatting>
  <conditionalFormatting sqref="Y1:Y1048576">
    <cfRule type="cellIs" dxfId="98" priority="2" stopIfTrue="1" operator="greaterThan">
      <formula>100</formula>
    </cfRule>
  </conditionalFormatting>
  <conditionalFormatting sqref="AB1:AB1048576">
    <cfRule type="cellIs" dxfId="97" priority="1" operator="lessThan">
      <formula>0</formula>
    </cfRule>
  </conditionalFormatting>
  <pageMargins left="1.45" right="0.7" top="0.25" bottom="0.25" header="0.3" footer="0.3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59999389629810485"/>
  </sheetPr>
  <dimension ref="A1:N65"/>
  <sheetViews>
    <sheetView view="pageBreakPreview" zoomScale="60" zoomScaleNormal="100" workbookViewId="0">
      <pane xSplit="2" ySplit="5" topLeftCell="C48" activePane="bottomRight" state="frozen"/>
      <selection pane="topRight" activeCell="C1" sqref="C1"/>
      <selection pane="bottomLeft" activeCell="A6" sqref="A6"/>
      <selection pane="bottomRight" activeCell="W67" sqref="W67"/>
    </sheetView>
  </sheetViews>
  <sheetFormatPr defaultRowHeight="15" x14ac:dyDescent="0.2"/>
  <cols>
    <col min="1" max="1" width="6" style="162" customWidth="1"/>
    <col min="2" max="2" width="29.28515625" style="36" customWidth="1"/>
    <col min="3" max="3" width="10.28515625" style="36" customWidth="1"/>
    <col min="4" max="4" width="10.5703125" style="36" customWidth="1"/>
    <col min="5" max="5" width="11.5703125" style="36" customWidth="1"/>
    <col min="6" max="6" width="10.85546875" style="36" customWidth="1"/>
    <col min="7" max="7" width="9.140625" style="37"/>
    <col min="8" max="8" width="9.140625" style="36" hidden="1" customWidth="1"/>
    <col min="9" max="10" width="9.140625" style="161" hidden="1" customWidth="1"/>
    <col min="11" max="11" width="9.140625" style="161" customWidth="1"/>
    <col min="12" max="12" width="9.140625" style="161" hidden="1" customWidth="1"/>
    <col min="13" max="13" width="0" style="161" hidden="1" customWidth="1"/>
    <col min="14" max="14" width="10.7109375" style="161" hidden="1" customWidth="1"/>
    <col min="15" max="15" width="0" style="36" hidden="1" customWidth="1"/>
    <col min="16" max="16384" width="9.140625" style="36"/>
  </cols>
  <sheetData>
    <row r="1" spans="1:14" ht="18.75" customHeight="1" x14ac:dyDescent="0.2">
      <c r="A1" s="514" t="s">
        <v>363</v>
      </c>
      <c r="B1" s="514"/>
      <c r="C1" s="514"/>
      <c r="D1" s="514"/>
      <c r="E1" s="514"/>
      <c r="F1" s="514"/>
      <c r="G1" s="514"/>
      <c r="J1" s="36"/>
      <c r="K1" s="36"/>
      <c r="L1" s="36"/>
      <c r="M1" s="36"/>
      <c r="N1" s="36"/>
    </row>
    <row r="2" spans="1:14" x14ac:dyDescent="0.2">
      <c r="A2" s="519" t="s">
        <v>117</v>
      </c>
      <c r="B2" s="519"/>
      <c r="C2" s="519"/>
      <c r="D2" s="519"/>
      <c r="E2" s="519"/>
      <c r="F2" s="519"/>
      <c r="J2" s="36"/>
      <c r="K2" s="36"/>
      <c r="L2" s="36"/>
      <c r="M2" s="36"/>
      <c r="N2" s="36"/>
    </row>
    <row r="3" spans="1:14" ht="25.5" customHeight="1" x14ac:dyDescent="0.2">
      <c r="B3" s="42" t="s">
        <v>12</v>
      </c>
      <c r="C3" s="520"/>
      <c r="D3" s="520"/>
      <c r="E3" s="524" t="s">
        <v>44</v>
      </c>
      <c r="F3" s="524"/>
      <c r="J3" s="36"/>
      <c r="K3" s="36"/>
      <c r="L3" s="354">
        <v>42614</v>
      </c>
      <c r="M3" s="354"/>
      <c r="N3" s="36"/>
    </row>
    <row r="4" spans="1:14" ht="15" customHeight="1" x14ac:dyDescent="0.2">
      <c r="A4" s="521" t="s">
        <v>168</v>
      </c>
      <c r="B4" s="521" t="s">
        <v>3</v>
      </c>
      <c r="C4" s="515" t="s">
        <v>39</v>
      </c>
      <c r="D4" s="516"/>
      <c r="E4" s="515" t="s">
        <v>13</v>
      </c>
      <c r="F4" s="516"/>
      <c r="G4" s="517" t="s">
        <v>118</v>
      </c>
      <c r="J4" s="36"/>
      <c r="K4" s="36"/>
      <c r="L4" s="513" t="s">
        <v>39</v>
      </c>
      <c r="M4" s="513"/>
      <c r="N4" s="513" t="s">
        <v>356</v>
      </c>
    </row>
    <row r="5" spans="1:14" x14ac:dyDescent="0.2">
      <c r="A5" s="522"/>
      <c r="B5" s="523"/>
      <c r="C5" s="180" t="s">
        <v>30</v>
      </c>
      <c r="D5" s="180" t="s">
        <v>17</v>
      </c>
      <c r="E5" s="180" t="s">
        <v>30</v>
      </c>
      <c r="F5" s="163" t="s">
        <v>17</v>
      </c>
      <c r="G5" s="518"/>
      <c r="J5" s="36"/>
      <c r="K5" s="36"/>
      <c r="L5" s="180" t="s">
        <v>30</v>
      </c>
      <c r="M5" s="180" t="s">
        <v>17</v>
      </c>
      <c r="N5" s="513"/>
    </row>
    <row r="6" spans="1:14" ht="15" customHeight="1" x14ac:dyDescent="0.2">
      <c r="A6" s="179">
        <v>1</v>
      </c>
      <c r="B6" s="151" t="s">
        <v>55</v>
      </c>
      <c r="C6" s="256">
        <v>16589</v>
      </c>
      <c r="D6" s="66">
        <v>108667.56</v>
      </c>
      <c r="E6" s="256">
        <f>'Pri Sec_outstanding_6'!P6+NPS_OS_8!U6</f>
        <v>162214</v>
      </c>
      <c r="F6" s="256">
        <f>'CD Ratio_3(i)'!F6</f>
        <v>721151</v>
      </c>
      <c r="G6" s="272">
        <f>D6*100/F6</f>
        <v>15.068627790851014</v>
      </c>
      <c r="H6" s="36" t="e">
        <f>NPA_PS_14!N6+NPA_NPS_15!#REF!</f>
        <v>#REF!</v>
      </c>
      <c r="I6" s="161" t="e">
        <f>H6-D6</f>
        <v>#REF!</v>
      </c>
      <c r="J6" s="36"/>
      <c r="K6" s="36"/>
      <c r="L6" s="256">
        <v>17736</v>
      </c>
      <c r="M6" s="66">
        <v>53266.559999999998</v>
      </c>
      <c r="N6" s="355">
        <f t="shared" ref="N6:N37" si="0">D6-M6</f>
        <v>55401</v>
      </c>
    </row>
    <row r="7" spans="1:14" ht="15" customHeight="1" x14ac:dyDescent="0.2">
      <c r="A7" s="179">
        <v>2</v>
      </c>
      <c r="B7" s="151" t="s">
        <v>56</v>
      </c>
      <c r="C7" s="256">
        <v>298</v>
      </c>
      <c r="D7" s="66">
        <v>4788.93</v>
      </c>
      <c r="E7" s="256">
        <f>'Pri Sec_outstanding_6'!P7+NPS_OS_8!U7</f>
        <v>6684</v>
      </c>
      <c r="F7" s="256">
        <f>'CD Ratio_3(i)'!F7</f>
        <v>63802.18</v>
      </c>
      <c r="G7" s="272">
        <f t="shared" ref="G7:G63" si="1">D7*100/F7</f>
        <v>7.5059034033006391</v>
      </c>
      <c r="H7" s="36">
        <f>NPA_PS_14!N7+NPA_NPS_15!L6</f>
        <v>58651.06</v>
      </c>
      <c r="I7" s="161">
        <f t="shared" ref="I7:I59" si="2">H7-D7</f>
        <v>53862.13</v>
      </c>
      <c r="J7" s="36"/>
      <c r="K7" s="36"/>
      <c r="L7" s="256">
        <v>283</v>
      </c>
      <c r="M7" s="66">
        <v>2134.4</v>
      </c>
      <c r="N7" s="355">
        <f t="shared" si="0"/>
        <v>2654.53</v>
      </c>
    </row>
    <row r="8" spans="1:14" ht="15" customHeight="1" x14ac:dyDescent="0.2">
      <c r="A8" s="179">
        <v>3</v>
      </c>
      <c r="B8" s="151" t="s">
        <v>57</v>
      </c>
      <c r="C8" s="256">
        <v>13115</v>
      </c>
      <c r="D8" s="66">
        <v>89597</v>
      </c>
      <c r="E8" s="256">
        <f>'Pri Sec_outstanding_6'!P8+NPS_OS_8!U8</f>
        <v>102922</v>
      </c>
      <c r="F8" s="256">
        <f>'CD Ratio_3(i)'!F8</f>
        <v>690825</v>
      </c>
      <c r="G8" s="272">
        <f t="shared" si="1"/>
        <v>12.96956537473311</v>
      </c>
      <c r="H8" s="36">
        <f>NPA_PS_14!N8+NPA_NPS_15!L7</f>
        <v>62860</v>
      </c>
      <c r="I8" s="161">
        <f t="shared" si="2"/>
        <v>-26737</v>
      </c>
      <c r="J8" s="36"/>
      <c r="K8" s="36"/>
      <c r="L8" s="256">
        <v>13226</v>
      </c>
      <c r="M8" s="66">
        <v>87373</v>
      </c>
      <c r="N8" s="355">
        <f t="shared" si="0"/>
        <v>2224</v>
      </c>
    </row>
    <row r="9" spans="1:14" ht="15" customHeight="1" x14ac:dyDescent="0.2">
      <c r="A9" s="179">
        <v>4</v>
      </c>
      <c r="B9" s="151" t="s">
        <v>58</v>
      </c>
      <c r="C9" s="256">
        <v>44874</v>
      </c>
      <c r="D9" s="66">
        <v>73812</v>
      </c>
      <c r="E9" s="256">
        <f>'Pri Sec_outstanding_6'!P9+NPS_OS_8!U9</f>
        <v>662530</v>
      </c>
      <c r="F9" s="256">
        <f>'CD Ratio_3(i)'!F9</f>
        <v>1743443</v>
      </c>
      <c r="G9" s="272">
        <f t="shared" si="1"/>
        <v>4.233691609074687</v>
      </c>
      <c r="H9" s="36">
        <f>NPA_PS_14!N9+NPA_NPS_15!L8</f>
        <v>80155</v>
      </c>
      <c r="I9" s="161">
        <f t="shared" si="2"/>
        <v>6343</v>
      </c>
      <c r="J9" s="36"/>
      <c r="K9" s="36"/>
      <c r="L9" s="256">
        <v>46773</v>
      </c>
      <c r="M9" s="66">
        <v>77106</v>
      </c>
      <c r="N9" s="355">
        <f t="shared" si="0"/>
        <v>-3294</v>
      </c>
    </row>
    <row r="10" spans="1:14" ht="15" customHeight="1" x14ac:dyDescent="0.2">
      <c r="A10" s="179">
        <v>5</v>
      </c>
      <c r="B10" s="151" t="s">
        <v>59</v>
      </c>
      <c r="C10" s="256">
        <v>20297</v>
      </c>
      <c r="D10" s="66">
        <v>52724.38</v>
      </c>
      <c r="E10" s="256">
        <f>'Pri Sec_outstanding_6'!P10+NPS_OS_8!U10</f>
        <v>133610</v>
      </c>
      <c r="F10" s="256">
        <f>'CD Ratio_3(i)'!F10</f>
        <v>297536</v>
      </c>
      <c r="G10" s="272">
        <f t="shared" si="1"/>
        <v>17.720336362658635</v>
      </c>
      <c r="H10" s="36">
        <f>NPA_PS_14!N10+NPA_NPS_15!L9</f>
        <v>49355</v>
      </c>
      <c r="I10" s="161">
        <f t="shared" si="2"/>
        <v>-3369.3799999999974</v>
      </c>
      <c r="J10" s="36"/>
      <c r="K10" s="36"/>
      <c r="L10" s="256">
        <v>17407</v>
      </c>
      <c r="M10" s="66">
        <v>30705</v>
      </c>
      <c r="N10" s="355">
        <f t="shared" si="0"/>
        <v>22019.379999999997</v>
      </c>
    </row>
    <row r="11" spans="1:14" ht="15" customHeight="1" x14ac:dyDescent="0.2">
      <c r="A11" s="179">
        <v>6</v>
      </c>
      <c r="B11" s="269" t="s">
        <v>242</v>
      </c>
      <c r="C11" s="256">
        <v>3</v>
      </c>
      <c r="D11" s="66">
        <v>4.9400000000000004</v>
      </c>
      <c r="E11" s="256">
        <f>'Pri Sec_outstanding_6'!P11+NPS_OS_8!U11</f>
        <v>321</v>
      </c>
      <c r="F11" s="256">
        <f>'CD Ratio_3(i)'!F11</f>
        <v>654</v>
      </c>
      <c r="G11" s="272">
        <f t="shared" si="1"/>
        <v>0.7553516819571866</v>
      </c>
      <c r="H11" s="36">
        <f>NPA_PS_14!N11+NPA_NPS_15!L10</f>
        <v>23768.32</v>
      </c>
      <c r="I11" s="161">
        <f t="shared" si="2"/>
        <v>23763.38</v>
      </c>
      <c r="J11" s="36"/>
      <c r="K11" s="36"/>
      <c r="L11" s="256">
        <v>0</v>
      </c>
      <c r="M11" s="66">
        <v>0</v>
      </c>
      <c r="N11" s="355">
        <f t="shared" si="0"/>
        <v>4.9400000000000004</v>
      </c>
    </row>
    <row r="12" spans="1:14" ht="15" customHeight="1" x14ac:dyDescent="0.2">
      <c r="A12" s="179">
        <v>7</v>
      </c>
      <c r="B12" s="151" t="s">
        <v>60</v>
      </c>
      <c r="C12" s="256">
        <v>7338</v>
      </c>
      <c r="D12" s="66">
        <v>25236</v>
      </c>
      <c r="E12" s="256">
        <f>'Pri Sec_outstanding_6'!P12+NPS_OS_8!U12</f>
        <v>92043</v>
      </c>
      <c r="F12" s="256">
        <f>'CD Ratio_3(i)'!F12</f>
        <v>419154</v>
      </c>
      <c r="G12" s="272">
        <f t="shared" si="1"/>
        <v>6.0206988362272575</v>
      </c>
      <c r="H12" s="36">
        <f>NPA_PS_14!N12+NPA_NPS_15!L11</f>
        <v>20874</v>
      </c>
      <c r="I12" s="161">
        <f t="shared" si="2"/>
        <v>-4362</v>
      </c>
      <c r="J12" s="36"/>
      <c r="K12" s="36"/>
      <c r="L12" s="256">
        <v>7284</v>
      </c>
      <c r="M12" s="66">
        <v>25051</v>
      </c>
      <c r="N12" s="355">
        <f t="shared" si="0"/>
        <v>185</v>
      </c>
    </row>
    <row r="13" spans="1:14" ht="15" customHeight="1" x14ac:dyDescent="0.2">
      <c r="A13" s="179">
        <v>8</v>
      </c>
      <c r="B13" s="151" t="s">
        <v>61</v>
      </c>
      <c r="C13" s="256">
        <v>72994</v>
      </c>
      <c r="D13" s="66">
        <v>107582</v>
      </c>
      <c r="E13" s="256">
        <f>'Pri Sec_outstanding_6'!P13+NPS_OS_8!U13</f>
        <v>492013</v>
      </c>
      <c r="F13" s="256">
        <f>'CD Ratio_3(i)'!F13</f>
        <v>1187286</v>
      </c>
      <c r="G13" s="272">
        <f t="shared" si="1"/>
        <v>9.0611697602767993</v>
      </c>
      <c r="H13" s="36">
        <f>NPA_PS_14!N13+NPA_NPS_15!L12</f>
        <v>71344</v>
      </c>
      <c r="I13" s="161">
        <f t="shared" si="2"/>
        <v>-36238</v>
      </c>
      <c r="J13" s="36"/>
      <c r="K13" s="36"/>
      <c r="L13" s="256">
        <v>69102</v>
      </c>
      <c r="M13" s="66">
        <v>109757</v>
      </c>
      <c r="N13" s="355">
        <f t="shared" si="0"/>
        <v>-2175</v>
      </c>
    </row>
    <row r="14" spans="1:14" ht="15" customHeight="1" x14ac:dyDescent="0.2">
      <c r="A14" s="179">
        <v>9</v>
      </c>
      <c r="B14" s="151" t="s">
        <v>48</v>
      </c>
      <c r="C14" s="256">
        <v>1139</v>
      </c>
      <c r="D14" s="66">
        <v>6222</v>
      </c>
      <c r="E14" s="256">
        <f>'Pri Sec_outstanding_6'!P14+NPS_OS_8!U14</f>
        <v>45840</v>
      </c>
      <c r="F14" s="256">
        <f>'CD Ratio_3(i)'!F14</f>
        <v>165917</v>
      </c>
      <c r="G14" s="272">
        <f t="shared" si="1"/>
        <v>3.7500678049868306</v>
      </c>
      <c r="H14" s="36">
        <f>NPA_PS_14!N14+NPA_NPS_15!L13</f>
        <v>43461</v>
      </c>
      <c r="I14" s="161">
        <f t="shared" si="2"/>
        <v>37239</v>
      </c>
      <c r="J14" s="36"/>
      <c r="K14" s="36"/>
      <c r="L14" s="256">
        <v>1169</v>
      </c>
      <c r="M14" s="66">
        <v>9763</v>
      </c>
      <c r="N14" s="355">
        <f t="shared" si="0"/>
        <v>-3541</v>
      </c>
    </row>
    <row r="15" spans="1:14" ht="15" customHeight="1" x14ac:dyDescent="0.2">
      <c r="A15" s="179">
        <v>10</v>
      </c>
      <c r="B15" s="151" t="s">
        <v>49</v>
      </c>
      <c r="C15" s="256">
        <v>8779</v>
      </c>
      <c r="D15" s="66">
        <v>14261</v>
      </c>
      <c r="E15" s="256">
        <f>'Pri Sec_outstanding_6'!P15+NPS_OS_8!U15</f>
        <v>30241</v>
      </c>
      <c r="F15" s="256">
        <f>'CD Ratio_3(i)'!F15</f>
        <v>151797</v>
      </c>
      <c r="G15" s="272">
        <f t="shared" si="1"/>
        <v>9.3947838231322098</v>
      </c>
      <c r="H15" s="36">
        <f>NPA_PS_14!N15+NPA_NPS_15!L14</f>
        <v>11932</v>
      </c>
      <c r="I15" s="161">
        <f t="shared" si="2"/>
        <v>-2329</v>
      </c>
      <c r="J15" s="36"/>
      <c r="K15" s="36"/>
      <c r="L15" s="256">
        <v>8946</v>
      </c>
      <c r="M15" s="66">
        <v>12530</v>
      </c>
      <c r="N15" s="355">
        <f t="shared" si="0"/>
        <v>1731</v>
      </c>
    </row>
    <row r="16" spans="1:14" ht="15" customHeight="1" x14ac:dyDescent="0.2">
      <c r="A16" s="179">
        <v>11</v>
      </c>
      <c r="B16" s="151" t="s">
        <v>81</v>
      </c>
      <c r="C16" s="256">
        <v>5365</v>
      </c>
      <c r="D16" s="66">
        <v>57079</v>
      </c>
      <c r="E16" s="256">
        <f>'Pri Sec_outstanding_6'!P16+NPS_OS_8!U16</f>
        <v>61602</v>
      </c>
      <c r="F16" s="256">
        <f>'CD Ratio_3(i)'!F16</f>
        <v>362362</v>
      </c>
      <c r="G16" s="272">
        <f t="shared" si="1"/>
        <v>15.751927630380669</v>
      </c>
      <c r="H16" s="36">
        <f>NPA_PS_14!N16+NPA_NPS_15!L15</f>
        <v>14476</v>
      </c>
      <c r="I16" s="161">
        <f t="shared" si="2"/>
        <v>-42603</v>
      </c>
      <c r="J16" s="36"/>
      <c r="K16" s="36"/>
      <c r="L16" s="256">
        <v>976</v>
      </c>
      <c r="M16" s="66">
        <v>57560</v>
      </c>
      <c r="N16" s="355">
        <f t="shared" si="0"/>
        <v>-481</v>
      </c>
    </row>
    <row r="17" spans="1:14" ht="15" customHeight="1" x14ac:dyDescent="0.2">
      <c r="A17" s="179">
        <v>12</v>
      </c>
      <c r="B17" s="151" t="s">
        <v>62</v>
      </c>
      <c r="C17" s="256">
        <v>483</v>
      </c>
      <c r="D17" s="66">
        <v>4068.95</v>
      </c>
      <c r="E17" s="256">
        <f>'Pri Sec_outstanding_6'!P17+NPS_OS_8!U17</f>
        <v>9682</v>
      </c>
      <c r="F17" s="256">
        <f>'CD Ratio_3(i)'!F17</f>
        <v>35094.410000000003</v>
      </c>
      <c r="G17" s="272">
        <f t="shared" si="1"/>
        <v>11.594296641544906</v>
      </c>
      <c r="H17" s="36">
        <f>NPA_PS_14!N17+NPA_NPS_15!L16</f>
        <v>49065.19</v>
      </c>
      <c r="I17" s="161">
        <f t="shared" si="2"/>
        <v>44996.240000000005</v>
      </c>
      <c r="J17" s="36"/>
      <c r="K17" s="36"/>
      <c r="L17" s="256">
        <v>491</v>
      </c>
      <c r="M17" s="66">
        <v>4132.79</v>
      </c>
      <c r="N17" s="355">
        <f t="shared" si="0"/>
        <v>-63.840000000000146</v>
      </c>
    </row>
    <row r="18" spans="1:14" ht="15" customHeight="1" x14ac:dyDescent="0.2">
      <c r="A18" s="179">
        <v>13</v>
      </c>
      <c r="B18" s="151" t="s">
        <v>63</v>
      </c>
      <c r="C18" s="256">
        <v>774</v>
      </c>
      <c r="D18" s="66">
        <v>17567</v>
      </c>
      <c r="E18" s="256">
        <f>'Pri Sec_outstanding_6'!P18+NPS_OS_8!U18</f>
        <v>14417</v>
      </c>
      <c r="F18" s="256">
        <f>'CD Ratio_3(i)'!F18</f>
        <v>96588</v>
      </c>
      <c r="G18" s="272">
        <f t="shared" si="1"/>
        <v>18.187559531204705</v>
      </c>
      <c r="H18" s="36">
        <f>NPA_PS_14!N18+NPA_NPS_15!L17</f>
        <v>4035.76</v>
      </c>
      <c r="I18" s="161">
        <f t="shared" si="2"/>
        <v>-13531.24</v>
      </c>
      <c r="J18" s="36"/>
      <c r="K18" s="36"/>
      <c r="L18" s="256">
        <v>854</v>
      </c>
      <c r="M18" s="66">
        <v>17755.2</v>
      </c>
      <c r="N18" s="355">
        <f t="shared" si="0"/>
        <v>-188.20000000000073</v>
      </c>
    </row>
    <row r="19" spans="1:14" ht="15" customHeight="1" x14ac:dyDescent="0.2">
      <c r="A19" s="179">
        <v>14</v>
      </c>
      <c r="B19" s="270" t="s">
        <v>207</v>
      </c>
      <c r="C19" s="256">
        <v>6309</v>
      </c>
      <c r="D19" s="66">
        <v>36388.33</v>
      </c>
      <c r="E19" s="256">
        <f>'Pri Sec_outstanding_6'!P19+NPS_OS_8!U19</f>
        <v>36340</v>
      </c>
      <c r="F19" s="256">
        <f>'CD Ratio_3(i)'!F19</f>
        <v>218999.15</v>
      </c>
      <c r="G19" s="272">
        <f t="shared" si="1"/>
        <v>16.61574028940295</v>
      </c>
      <c r="H19" s="36">
        <f>NPA_PS_14!N19+NPA_NPS_15!L18</f>
        <v>27795.760000000002</v>
      </c>
      <c r="I19" s="161">
        <f t="shared" si="2"/>
        <v>-8592.57</v>
      </c>
      <c r="J19" s="36"/>
      <c r="K19" s="36"/>
      <c r="L19" s="256">
        <v>6253</v>
      </c>
      <c r="M19" s="66">
        <v>35717.19</v>
      </c>
      <c r="N19" s="355">
        <f t="shared" si="0"/>
        <v>671.13999999999942</v>
      </c>
    </row>
    <row r="20" spans="1:14" ht="15" customHeight="1" x14ac:dyDescent="0.2">
      <c r="A20" s="179">
        <v>15</v>
      </c>
      <c r="B20" s="151" t="s">
        <v>208</v>
      </c>
      <c r="C20" s="256">
        <v>5186</v>
      </c>
      <c r="D20" s="66">
        <v>3988.66</v>
      </c>
      <c r="E20" s="256">
        <f>'Pri Sec_outstanding_6'!P20+NPS_OS_8!U20</f>
        <v>16622</v>
      </c>
      <c r="F20" s="256">
        <f>'CD Ratio_3(i)'!F20</f>
        <v>62375</v>
      </c>
      <c r="G20" s="272">
        <f t="shared" si="1"/>
        <v>6.3946452905811624</v>
      </c>
      <c r="H20" s="36">
        <f>NPA_PS_14!N20+NPA_NPS_15!L19</f>
        <v>29284.06</v>
      </c>
      <c r="I20" s="161">
        <f t="shared" si="2"/>
        <v>25295.4</v>
      </c>
      <c r="J20" s="36"/>
      <c r="K20" s="36"/>
      <c r="L20" s="256">
        <v>5175</v>
      </c>
      <c r="M20" s="66">
        <v>3673.21</v>
      </c>
      <c r="N20" s="355">
        <f t="shared" si="0"/>
        <v>315.44999999999982</v>
      </c>
    </row>
    <row r="21" spans="1:14" ht="15" customHeight="1" x14ac:dyDescent="0.2">
      <c r="A21" s="179">
        <v>16</v>
      </c>
      <c r="B21" s="151" t="s">
        <v>64</v>
      </c>
      <c r="C21" s="256">
        <v>10302</v>
      </c>
      <c r="D21" s="66">
        <v>108476</v>
      </c>
      <c r="E21" s="256">
        <f>'Pri Sec_outstanding_6'!P21+NPS_OS_8!U21</f>
        <v>327228</v>
      </c>
      <c r="F21" s="256">
        <f>'CD Ratio_3(i)'!F21</f>
        <v>1347838</v>
      </c>
      <c r="G21" s="272">
        <f t="shared" si="1"/>
        <v>8.0481482195931555</v>
      </c>
      <c r="H21" s="36">
        <f>NPA_PS_14!N21+NPA_NPS_15!L20</f>
        <v>69677.17</v>
      </c>
      <c r="I21" s="161">
        <f t="shared" si="2"/>
        <v>-38798.83</v>
      </c>
      <c r="J21" s="36"/>
      <c r="K21" s="36"/>
      <c r="L21" s="256">
        <v>11401</v>
      </c>
      <c r="M21" s="66">
        <v>104563</v>
      </c>
      <c r="N21" s="355">
        <f t="shared" si="0"/>
        <v>3913</v>
      </c>
    </row>
    <row r="22" spans="1:14" ht="15" customHeight="1" x14ac:dyDescent="0.2">
      <c r="A22" s="179">
        <v>17</v>
      </c>
      <c r="B22" s="270" t="s">
        <v>69</v>
      </c>
      <c r="C22" s="256">
        <v>0</v>
      </c>
      <c r="D22" s="66">
        <v>0</v>
      </c>
      <c r="E22" s="256">
        <f>'Pri Sec_outstanding_6'!P22+NPS_OS_8!U22</f>
        <v>2372</v>
      </c>
      <c r="F22" s="256">
        <f>'CD Ratio_3(i)'!F22</f>
        <v>34927.800000000003</v>
      </c>
      <c r="G22" s="272">
        <f t="shared" si="1"/>
        <v>0</v>
      </c>
      <c r="H22" s="36">
        <f>NPA_PS_14!N22+NPA_NPS_15!L21</f>
        <v>38924</v>
      </c>
      <c r="I22" s="161">
        <f t="shared" si="2"/>
        <v>38924</v>
      </c>
      <c r="J22" s="36"/>
      <c r="K22" s="36"/>
      <c r="L22" s="256">
        <v>71</v>
      </c>
      <c r="M22" s="66">
        <v>924.49</v>
      </c>
      <c r="N22" s="355">
        <f t="shared" si="0"/>
        <v>-924.49</v>
      </c>
    </row>
    <row r="23" spans="1:14" ht="15" customHeight="1" x14ac:dyDescent="0.2">
      <c r="A23" s="179">
        <v>18</v>
      </c>
      <c r="B23" s="99" t="s">
        <v>209</v>
      </c>
      <c r="C23" s="256">
        <v>61</v>
      </c>
      <c r="D23" s="66">
        <v>8445.81</v>
      </c>
      <c r="E23" s="256">
        <f>'Pri Sec_outstanding_6'!P23+NPS_OS_8!U23</f>
        <v>753</v>
      </c>
      <c r="F23" s="256">
        <f>'CD Ratio_3(i)'!F23</f>
        <v>27915.18</v>
      </c>
      <c r="G23" s="272">
        <f t="shared" si="1"/>
        <v>30.255258966626759</v>
      </c>
      <c r="H23" s="36">
        <f>NPA_PS_14!N23+NPA_NPS_15!L22</f>
        <v>342.3</v>
      </c>
      <c r="I23" s="161">
        <f t="shared" si="2"/>
        <v>-8103.5099999999993</v>
      </c>
      <c r="J23" s="36"/>
      <c r="K23" s="36"/>
      <c r="L23" s="256">
        <v>0</v>
      </c>
      <c r="M23" s="66">
        <v>0</v>
      </c>
      <c r="N23" s="355">
        <f t="shared" si="0"/>
        <v>8445.81</v>
      </c>
    </row>
    <row r="24" spans="1:14" ht="15" customHeight="1" x14ac:dyDescent="0.2">
      <c r="A24" s="179">
        <v>19</v>
      </c>
      <c r="B24" s="271" t="s">
        <v>210</v>
      </c>
      <c r="C24" s="256">
        <v>285</v>
      </c>
      <c r="D24" s="66">
        <v>454.71</v>
      </c>
      <c r="E24" s="256">
        <f>'Pri Sec_outstanding_6'!P24+NPS_OS_8!U24</f>
        <v>3208</v>
      </c>
      <c r="F24" s="256">
        <f>'CD Ratio_3(i)'!F24</f>
        <v>70073</v>
      </c>
      <c r="G24" s="272">
        <f t="shared" si="1"/>
        <v>0.64890899490531306</v>
      </c>
      <c r="H24" s="36">
        <f>NPA_PS_14!N24+NPA_NPS_15!L23</f>
        <v>8501.51</v>
      </c>
      <c r="I24" s="161">
        <f t="shared" si="2"/>
        <v>8046.8</v>
      </c>
      <c r="J24" s="36"/>
      <c r="K24" s="36"/>
      <c r="L24" s="256">
        <v>159</v>
      </c>
      <c r="M24" s="66">
        <v>395.15000000000003</v>
      </c>
      <c r="N24" s="355">
        <f t="shared" si="0"/>
        <v>59.559999999999945</v>
      </c>
    </row>
    <row r="25" spans="1:14" ht="15" customHeight="1" x14ac:dyDescent="0.2">
      <c r="A25" s="179">
        <v>20</v>
      </c>
      <c r="B25" s="151" t="s">
        <v>211</v>
      </c>
      <c r="C25" s="256">
        <v>22</v>
      </c>
      <c r="D25" s="66">
        <v>13638</v>
      </c>
      <c r="E25" s="256">
        <f>'Pri Sec_outstanding_6'!P25+NPS_OS_8!U25</f>
        <v>2231</v>
      </c>
      <c r="F25" s="256">
        <f>'CD Ratio_3(i)'!F25</f>
        <v>52203</v>
      </c>
      <c r="G25" s="272">
        <f t="shared" si="1"/>
        <v>26.124935348543186</v>
      </c>
      <c r="H25" s="36">
        <f>NPA_PS_14!N25+NPA_NPS_15!L24</f>
        <v>2717.71</v>
      </c>
      <c r="I25" s="161">
        <f t="shared" si="2"/>
        <v>-10920.29</v>
      </c>
      <c r="J25" s="36"/>
      <c r="K25" s="36"/>
      <c r="L25" s="256">
        <v>21</v>
      </c>
      <c r="M25" s="66">
        <v>2661</v>
      </c>
      <c r="N25" s="355">
        <f t="shared" si="0"/>
        <v>10977</v>
      </c>
    </row>
    <row r="26" spans="1:14" ht="15" customHeight="1" x14ac:dyDescent="0.2">
      <c r="A26" s="179">
        <v>21</v>
      </c>
      <c r="B26" s="151" t="s">
        <v>212</v>
      </c>
      <c r="C26" s="256">
        <v>493</v>
      </c>
      <c r="D26" s="66">
        <v>18151</v>
      </c>
      <c r="E26" s="256">
        <f>'Pri Sec_outstanding_6'!P26+NPS_OS_8!U26</f>
        <v>6904</v>
      </c>
      <c r="F26" s="256">
        <f>'CD Ratio_3(i)'!F26</f>
        <v>59363</v>
      </c>
      <c r="G26" s="272">
        <f t="shared" si="1"/>
        <v>30.576284891262233</v>
      </c>
      <c r="H26" s="36">
        <f>NPA_PS_14!N26+NPA_NPS_15!L25</f>
        <v>11603.7</v>
      </c>
      <c r="I26" s="161">
        <f t="shared" si="2"/>
        <v>-6547.2999999999993</v>
      </c>
      <c r="J26" s="36"/>
      <c r="K26" s="36"/>
      <c r="L26" s="256">
        <v>0</v>
      </c>
      <c r="M26" s="66">
        <v>0</v>
      </c>
      <c r="N26" s="355">
        <f t="shared" si="0"/>
        <v>18151</v>
      </c>
    </row>
    <row r="27" spans="1:14" ht="15" customHeight="1" x14ac:dyDescent="0.2">
      <c r="A27" s="179">
        <v>22</v>
      </c>
      <c r="B27" s="151" t="s">
        <v>70</v>
      </c>
      <c r="C27" s="256">
        <v>111442</v>
      </c>
      <c r="D27" s="66">
        <v>103635</v>
      </c>
      <c r="E27" s="256">
        <f>'Pri Sec_outstanding_6'!P27+NPS_OS_8!U27</f>
        <v>1024945</v>
      </c>
      <c r="F27" s="256">
        <f>'CD Ratio_3(i)'!F27</f>
        <v>5637466</v>
      </c>
      <c r="G27" s="272">
        <f t="shared" si="1"/>
        <v>1.8383259428970391</v>
      </c>
      <c r="H27" s="36">
        <f>NPA_PS_14!N27+NPA_NPS_15!L26</f>
        <v>111123.3</v>
      </c>
      <c r="I27" s="161">
        <f t="shared" si="2"/>
        <v>7488.3000000000029</v>
      </c>
      <c r="J27" s="36"/>
      <c r="K27" s="36"/>
      <c r="L27" s="256">
        <v>123767</v>
      </c>
      <c r="M27" s="66">
        <v>119490</v>
      </c>
      <c r="N27" s="355">
        <f t="shared" si="0"/>
        <v>-15855</v>
      </c>
    </row>
    <row r="28" spans="1:14" ht="15" customHeight="1" x14ac:dyDescent="0.2">
      <c r="A28" s="179">
        <v>23</v>
      </c>
      <c r="B28" s="151" t="s">
        <v>65</v>
      </c>
      <c r="C28" s="256">
        <v>10489</v>
      </c>
      <c r="D28" s="66">
        <v>20787</v>
      </c>
      <c r="E28" s="256">
        <f>'Pri Sec_outstanding_6'!P28+NPS_OS_8!U28</f>
        <v>45740</v>
      </c>
      <c r="F28" s="256">
        <f>'CD Ratio_3(i)'!F28</f>
        <v>146762</v>
      </c>
      <c r="G28" s="272">
        <f t="shared" si="1"/>
        <v>14.163748109183576</v>
      </c>
      <c r="H28" s="36">
        <f>NPA_PS_14!N28+NPA_NPS_15!L27</f>
        <v>20929</v>
      </c>
      <c r="I28" s="161">
        <f t="shared" si="2"/>
        <v>142</v>
      </c>
      <c r="J28" s="36"/>
      <c r="K28" s="36"/>
      <c r="L28" s="256">
        <v>10541</v>
      </c>
      <c r="M28" s="66">
        <v>20497</v>
      </c>
      <c r="N28" s="355">
        <f t="shared" si="0"/>
        <v>290</v>
      </c>
    </row>
    <row r="29" spans="1:14" ht="15" customHeight="1" x14ac:dyDescent="0.2">
      <c r="A29" s="179">
        <v>24</v>
      </c>
      <c r="B29" s="151" t="s">
        <v>213</v>
      </c>
      <c r="C29" s="256">
        <v>16657</v>
      </c>
      <c r="D29" s="66">
        <v>79013</v>
      </c>
      <c r="E29" s="256">
        <f>'Pri Sec_outstanding_6'!P29+NPS_OS_8!U29</f>
        <v>137227</v>
      </c>
      <c r="F29" s="256">
        <f>'CD Ratio_3(i)'!F29</f>
        <v>426821.53</v>
      </c>
      <c r="G29" s="272">
        <f t="shared" si="1"/>
        <v>18.511952759271537</v>
      </c>
      <c r="H29" s="36">
        <f>NPA_PS_14!N29+NPA_NPS_15!L28</f>
        <v>76155.73000000001</v>
      </c>
      <c r="I29" s="161">
        <f t="shared" si="2"/>
        <v>-2857.2699999999895</v>
      </c>
      <c r="J29" s="36"/>
      <c r="K29" s="36"/>
      <c r="L29" s="256">
        <v>15424</v>
      </c>
      <c r="M29" s="66">
        <v>72819.03</v>
      </c>
      <c r="N29" s="355">
        <f t="shared" si="0"/>
        <v>6193.9700000000012</v>
      </c>
    </row>
    <row r="30" spans="1:14" ht="15" customHeight="1" x14ac:dyDescent="0.2">
      <c r="A30" s="179">
        <v>25</v>
      </c>
      <c r="B30" s="151" t="s">
        <v>66</v>
      </c>
      <c r="C30" s="256">
        <v>49595</v>
      </c>
      <c r="D30" s="66">
        <v>71969</v>
      </c>
      <c r="E30" s="256">
        <f>'Pri Sec_outstanding_6'!P30+NPS_OS_8!U30</f>
        <v>227065</v>
      </c>
      <c r="F30" s="256">
        <f>'CD Ratio_3(i)'!F30</f>
        <v>918545</v>
      </c>
      <c r="G30" s="272">
        <f t="shared" si="1"/>
        <v>7.8351087861781403</v>
      </c>
      <c r="H30" s="36">
        <f>NPA_PS_14!N30+NPA_NPS_15!L29</f>
        <v>59014</v>
      </c>
      <c r="I30" s="161">
        <f t="shared" si="2"/>
        <v>-12955</v>
      </c>
      <c r="J30" s="36"/>
      <c r="K30" s="36"/>
      <c r="L30" s="256">
        <v>51659</v>
      </c>
      <c r="M30" s="66">
        <v>67928</v>
      </c>
      <c r="N30" s="355">
        <f t="shared" si="0"/>
        <v>4041</v>
      </c>
    </row>
    <row r="31" spans="1:14" ht="15" customHeight="1" x14ac:dyDescent="0.2">
      <c r="A31" s="179">
        <v>26</v>
      </c>
      <c r="B31" s="269" t="s">
        <v>67</v>
      </c>
      <c r="C31" s="256">
        <v>206</v>
      </c>
      <c r="D31" s="66">
        <v>8008</v>
      </c>
      <c r="E31" s="256">
        <f>'Pri Sec_outstanding_6'!P31+NPS_OS_8!U31</f>
        <v>2703</v>
      </c>
      <c r="F31" s="256">
        <f>'CD Ratio_3(i)'!F31</f>
        <v>26456</v>
      </c>
      <c r="G31" s="272">
        <f t="shared" si="1"/>
        <v>30.26912609615966</v>
      </c>
      <c r="H31" s="36">
        <f>NPA_PS_14!N31+NPA_NPS_15!L30</f>
        <v>26463</v>
      </c>
      <c r="I31" s="161">
        <f t="shared" si="2"/>
        <v>18455</v>
      </c>
      <c r="J31" s="36"/>
      <c r="K31" s="36"/>
      <c r="L31" s="256">
        <v>193</v>
      </c>
      <c r="M31" s="66">
        <v>8386</v>
      </c>
      <c r="N31" s="355">
        <f t="shared" si="0"/>
        <v>-378</v>
      </c>
    </row>
    <row r="32" spans="1:14" ht="15" customHeight="1" x14ac:dyDescent="0.2">
      <c r="A32" s="179">
        <v>27</v>
      </c>
      <c r="B32" s="151" t="s">
        <v>50</v>
      </c>
      <c r="C32" s="256">
        <v>1105</v>
      </c>
      <c r="D32" s="66">
        <v>2681</v>
      </c>
      <c r="E32" s="256">
        <f>'Pri Sec_outstanding_6'!P32+NPS_OS_8!U32</f>
        <v>21377</v>
      </c>
      <c r="F32" s="256">
        <f>'CD Ratio_3(i)'!F32</f>
        <v>78823</v>
      </c>
      <c r="G32" s="272">
        <f t="shared" si="1"/>
        <v>3.4012915012115754</v>
      </c>
      <c r="H32" s="36">
        <f>NPA_PS_14!N32+NPA_NPS_15!L31</f>
        <v>8808</v>
      </c>
      <c r="I32" s="161">
        <f t="shared" si="2"/>
        <v>6127</v>
      </c>
      <c r="J32" s="36"/>
      <c r="K32" s="36"/>
      <c r="L32" s="256">
        <v>1205</v>
      </c>
      <c r="M32" s="66">
        <v>3023</v>
      </c>
      <c r="N32" s="355">
        <f t="shared" si="0"/>
        <v>-342</v>
      </c>
    </row>
    <row r="33" spans="1:14" s="42" customFormat="1" ht="15" customHeight="1" x14ac:dyDescent="0.2">
      <c r="A33" s="239"/>
      <c r="B33" s="154" t="s">
        <v>288</v>
      </c>
      <c r="C33" s="258">
        <f>SUM(C6:C32)</f>
        <v>404200</v>
      </c>
      <c r="D33" s="258">
        <f>SUM(D6:D32)</f>
        <v>1037246.27</v>
      </c>
      <c r="E33" s="258">
        <f>'Pri Sec_outstanding_6'!P33+NPS_OS_8!U33</f>
        <v>3668834</v>
      </c>
      <c r="F33" s="258">
        <f>'CD Ratio_3(i)'!F33</f>
        <v>15044177.249999998</v>
      </c>
      <c r="G33" s="273">
        <f t="shared" si="1"/>
        <v>6.8946692980501814</v>
      </c>
      <c r="H33" s="42">
        <f>NPA_PS_14!N33+NPA_NPS_15!L32</f>
        <v>623289.47</v>
      </c>
      <c r="I33" s="275">
        <f t="shared" si="2"/>
        <v>-413956.80000000005</v>
      </c>
      <c r="J33" s="275"/>
      <c r="K33" s="161"/>
      <c r="L33" s="258">
        <v>410116</v>
      </c>
      <c r="M33" s="353">
        <v>927211.02</v>
      </c>
      <c r="N33" s="355">
        <f t="shared" si="0"/>
        <v>110035.25</v>
      </c>
    </row>
    <row r="34" spans="1:14" ht="15" customHeight="1" x14ac:dyDescent="0.2">
      <c r="A34" s="179">
        <v>28</v>
      </c>
      <c r="B34" s="151" t="s">
        <v>47</v>
      </c>
      <c r="C34" s="256">
        <v>2878</v>
      </c>
      <c r="D34" s="66">
        <v>12481</v>
      </c>
      <c r="E34" s="256">
        <f>'Pri Sec_outstanding_6'!P34+NPS_OS_8!U34</f>
        <v>197701</v>
      </c>
      <c r="F34" s="256">
        <f>'CD Ratio_3(i)'!F34</f>
        <v>589102.14</v>
      </c>
      <c r="G34" s="272">
        <f t="shared" si="1"/>
        <v>2.1186478799754487</v>
      </c>
      <c r="H34" s="36">
        <f>NPA_PS_14!N34+NPA_NPS_15!L33</f>
        <v>418878.58</v>
      </c>
      <c r="I34" s="161">
        <f t="shared" si="2"/>
        <v>406397.58</v>
      </c>
      <c r="L34" s="256">
        <v>2437</v>
      </c>
      <c r="M34" s="66">
        <v>6098.16</v>
      </c>
      <c r="N34" s="355">
        <f t="shared" si="0"/>
        <v>6382.84</v>
      </c>
    </row>
    <row r="35" spans="1:14" ht="15" customHeight="1" x14ac:dyDescent="0.2">
      <c r="A35" s="179">
        <v>29</v>
      </c>
      <c r="B35" s="151" t="s">
        <v>215</v>
      </c>
      <c r="C35" s="256">
        <v>0</v>
      </c>
      <c r="D35" s="66">
        <v>0</v>
      </c>
      <c r="E35" s="256">
        <f>'Pri Sec_outstanding_6'!P35+NPS_OS_8!U35</f>
        <v>154038</v>
      </c>
      <c r="F35" s="256">
        <f>'CD Ratio_3(i)'!F35</f>
        <v>52638</v>
      </c>
      <c r="G35" s="272">
        <f t="shared" si="1"/>
        <v>0</v>
      </c>
      <c r="H35" s="36">
        <f>NPA_PS_14!N35+NPA_NPS_15!L34</f>
        <v>8683.1200000000008</v>
      </c>
      <c r="I35" s="161">
        <f t="shared" si="2"/>
        <v>8683.1200000000008</v>
      </c>
      <c r="L35" s="256">
        <v>0</v>
      </c>
      <c r="M35" s="66">
        <v>0</v>
      </c>
      <c r="N35" s="355">
        <f t="shared" si="0"/>
        <v>0</v>
      </c>
    </row>
    <row r="36" spans="1:14" ht="15" customHeight="1" x14ac:dyDescent="0.2">
      <c r="A36" s="179">
        <v>30</v>
      </c>
      <c r="B36" s="151" t="s">
        <v>216</v>
      </c>
      <c r="C36" s="256">
        <v>0</v>
      </c>
      <c r="D36" s="66">
        <v>0</v>
      </c>
      <c r="E36" s="256">
        <f>'Pri Sec_outstanding_6'!P36+NPS_OS_8!U36</f>
        <v>113</v>
      </c>
      <c r="F36" s="256">
        <f>'CD Ratio_3(i)'!F36</f>
        <v>704</v>
      </c>
      <c r="G36" s="272">
        <f t="shared" si="1"/>
        <v>0</v>
      </c>
      <c r="H36" s="36">
        <f>NPA_PS_14!N36+NPA_NPS_15!L35</f>
        <v>0</v>
      </c>
      <c r="I36" s="161">
        <f t="shared" si="2"/>
        <v>0</v>
      </c>
      <c r="L36" s="256">
        <v>0</v>
      </c>
      <c r="M36" s="66">
        <v>0</v>
      </c>
      <c r="N36" s="355">
        <f t="shared" si="0"/>
        <v>0</v>
      </c>
    </row>
    <row r="37" spans="1:14" ht="15" customHeight="1" x14ac:dyDescent="0.2">
      <c r="A37" s="179">
        <v>31</v>
      </c>
      <c r="B37" s="151" t="s">
        <v>78</v>
      </c>
      <c r="C37" s="256">
        <v>0</v>
      </c>
      <c r="D37" s="66">
        <v>0</v>
      </c>
      <c r="E37" s="256">
        <f>'Pri Sec_outstanding_6'!P37+NPS_OS_8!U37</f>
        <v>1</v>
      </c>
      <c r="F37" s="256">
        <f>'CD Ratio_3(i)'!F37</f>
        <v>1.98</v>
      </c>
      <c r="G37" s="272">
        <f t="shared" si="1"/>
        <v>0</v>
      </c>
      <c r="H37" s="36">
        <f>NPA_PS_14!N37+NPA_NPS_15!L36</f>
        <v>0</v>
      </c>
      <c r="I37" s="161">
        <f t="shared" si="2"/>
        <v>0</v>
      </c>
      <c r="L37" s="256">
        <v>0</v>
      </c>
      <c r="M37" s="66">
        <v>0</v>
      </c>
      <c r="N37" s="355">
        <f t="shared" si="0"/>
        <v>0</v>
      </c>
    </row>
    <row r="38" spans="1:14" ht="15" customHeight="1" x14ac:dyDescent="0.2">
      <c r="A38" s="179">
        <v>32</v>
      </c>
      <c r="B38" s="151" t="s">
        <v>51</v>
      </c>
      <c r="C38" s="256">
        <v>6</v>
      </c>
      <c r="D38" s="66">
        <v>162.91</v>
      </c>
      <c r="E38" s="256">
        <f>'Pri Sec_outstanding_6'!P38+NPS_OS_8!U38</f>
        <v>282</v>
      </c>
      <c r="F38" s="256">
        <f>'CD Ratio_3(i)'!F38</f>
        <v>8522</v>
      </c>
      <c r="G38" s="272">
        <f t="shared" si="1"/>
        <v>1.9116404599859187</v>
      </c>
      <c r="H38" s="36">
        <f>NPA_PS_14!N38+NPA_NPS_15!L37</f>
        <v>162.91</v>
      </c>
      <c r="I38" s="161">
        <f t="shared" si="2"/>
        <v>0</v>
      </c>
      <c r="L38" s="256">
        <v>0</v>
      </c>
      <c r="M38" s="66">
        <v>0</v>
      </c>
      <c r="N38" s="355">
        <f t="shared" ref="N38:N63" si="3">D38-M38</f>
        <v>162.91</v>
      </c>
    </row>
    <row r="39" spans="1:14" ht="15" customHeight="1" x14ac:dyDescent="0.2">
      <c r="A39" s="179">
        <v>33</v>
      </c>
      <c r="B39" s="151" t="s">
        <v>217</v>
      </c>
      <c r="C39" s="256">
        <v>0</v>
      </c>
      <c r="D39" s="66">
        <v>0</v>
      </c>
      <c r="E39" s="256">
        <f>'Pri Sec_outstanding_6'!P39+NPS_OS_8!U39</f>
        <v>1119</v>
      </c>
      <c r="F39" s="256">
        <f>'CD Ratio_3(i)'!F39</f>
        <v>48279</v>
      </c>
      <c r="G39" s="272">
        <f t="shared" si="1"/>
        <v>0</v>
      </c>
      <c r="H39" s="36">
        <f>NPA_PS_14!N39+NPA_NPS_15!L38</f>
        <v>0</v>
      </c>
      <c r="I39" s="161">
        <f t="shared" si="2"/>
        <v>0</v>
      </c>
      <c r="L39" s="256">
        <v>0</v>
      </c>
      <c r="M39" s="66">
        <v>0</v>
      </c>
      <c r="N39" s="355">
        <f t="shared" si="3"/>
        <v>0</v>
      </c>
    </row>
    <row r="40" spans="1:14" ht="15" customHeight="1" x14ac:dyDescent="0.2">
      <c r="A40" s="179">
        <v>34</v>
      </c>
      <c r="B40" s="151" t="s">
        <v>218</v>
      </c>
      <c r="C40" s="256">
        <v>0</v>
      </c>
      <c r="D40" s="66">
        <v>0</v>
      </c>
      <c r="E40" s="256">
        <f>'Pri Sec_outstanding_6'!P40+NPS_OS_8!U40</f>
        <v>17</v>
      </c>
      <c r="F40" s="256">
        <f>'CD Ratio_3(i)'!F40</f>
        <v>35</v>
      </c>
      <c r="G40" s="272">
        <f t="shared" si="1"/>
        <v>0</v>
      </c>
      <c r="H40" s="36">
        <f>NPA_PS_14!N40+NPA_NPS_15!L39</f>
        <v>0</v>
      </c>
      <c r="I40" s="161">
        <f t="shared" si="2"/>
        <v>0</v>
      </c>
      <c r="L40" s="256">
        <v>0</v>
      </c>
      <c r="M40" s="66">
        <v>0</v>
      </c>
      <c r="N40" s="355">
        <f t="shared" si="3"/>
        <v>0</v>
      </c>
    </row>
    <row r="41" spans="1:14" ht="15" customHeight="1" x14ac:dyDescent="0.2">
      <c r="A41" s="179">
        <v>35</v>
      </c>
      <c r="B41" s="151" t="s">
        <v>219</v>
      </c>
      <c r="C41" s="256">
        <v>30</v>
      </c>
      <c r="D41" s="66">
        <v>1184.81</v>
      </c>
      <c r="E41" s="256">
        <f>'Pri Sec_outstanding_6'!P41+NPS_OS_8!U41</f>
        <v>5470</v>
      </c>
      <c r="F41" s="256">
        <f>'CD Ratio_3(i)'!F41</f>
        <v>15484.12</v>
      </c>
      <c r="G41" s="272">
        <f t="shared" si="1"/>
        <v>7.6517748506211518</v>
      </c>
      <c r="H41" s="36">
        <f>NPA_PS_14!N41+NPA_NPS_15!L40</f>
        <v>45.49</v>
      </c>
      <c r="I41" s="161">
        <f t="shared" si="2"/>
        <v>-1139.32</v>
      </c>
      <c r="L41" s="256">
        <v>28</v>
      </c>
      <c r="M41" s="66">
        <v>1170.77</v>
      </c>
      <c r="N41" s="355">
        <f t="shared" si="3"/>
        <v>14.039999999999964</v>
      </c>
    </row>
    <row r="42" spans="1:14" ht="15" customHeight="1" x14ac:dyDescent="0.2">
      <c r="A42" s="179">
        <v>36</v>
      </c>
      <c r="B42" s="151" t="s">
        <v>71</v>
      </c>
      <c r="C42" s="256">
        <v>10697</v>
      </c>
      <c r="D42" s="66">
        <v>21231</v>
      </c>
      <c r="E42" s="256">
        <f>'Pri Sec_outstanding_6'!P42+NPS_OS_8!U42</f>
        <v>567756</v>
      </c>
      <c r="F42" s="256">
        <f>'CD Ratio_3(i)'!F42</f>
        <v>1177664</v>
      </c>
      <c r="G42" s="272">
        <f t="shared" si="1"/>
        <v>1.8028062333568828</v>
      </c>
      <c r="H42" s="36">
        <f>NPA_PS_14!N42+NPA_NPS_15!L41</f>
        <v>14371.32</v>
      </c>
      <c r="I42" s="161">
        <f t="shared" si="2"/>
        <v>-6859.68</v>
      </c>
      <c r="L42" s="256">
        <v>10050</v>
      </c>
      <c r="M42" s="66">
        <v>22010.79</v>
      </c>
      <c r="N42" s="355">
        <f t="shared" si="3"/>
        <v>-779.79000000000087</v>
      </c>
    </row>
    <row r="43" spans="1:14" ht="15" customHeight="1" x14ac:dyDescent="0.2">
      <c r="A43" s="179">
        <v>37</v>
      </c>
      <c r="B43" s="151" t="s">
        <v>72</v>
      </c>
      <c r="C43" s="256">
        <v>8202</v>
      </c>
      <c r="D43" s="66">
        <v>28206</v>
      </c>
      <c r="E43" s="256">
        <f>'Pri Sec_outstanding_6'!P43+NPS_OS_8!U43</f>
        <v>207568</v>
      </c>
      <c r="F43" s="256">
        <f>'CD Ratio_3(i)'!F43</f>
        <v>1049319</v>
      </c>
      <c r="G43" s="272">
        <f t="shared" si="1"/>
        <v>2.6880290931547033</v>
      </c>
      <c r="H43" s="36">
        <f>NPA_PS_14!N43+NPA_NPS_15!L42</f>
        <v>18186</v>
      </c>
      <c r="I43" s="161">
        <f t="shared" si="2"/>
        <v>-10020</v>
      </c>
      <c r="L43" s="256">
        <v>8429</v>
      </c>
      <c r="M43" s="66">
        <v>14867</v>
      </c>
      <c r="N43" s="355">
        <f t="shared" si="3"/>
        <v>13339</v>
      </c>
    </row>
    <row r="44" spans="1:14" ht="15" customHeight="1" x14ac:dyDescent="0.2">
      <c r="A44" s="179">
        <v>38</v>
      </c>
      <c r="B44" s="151" t="s">
        <v>220</v>
      </c>
      <c r="C44" s="256">
        <v>141</v>
      </c>
      <c r="D44" s="66">
        <v>16</v>
      </c>
      <c r="E44" s="256">
        <f>'Pri Sec_outstanding_6'!P44+NPS_OS_8!U44</f>
        <v>139318</v>
      </c>
      <c r="F44" s="256">
        <f>'CD Ratio_3(i)'!F44</f>
        <v>15392</v>
      </c>
      <c r="G44" s="272">
        <f t="shared" si="1"/>
        <v>0.10395010395010396</v>
      </c>
      <c r="H44" s="36">
        <f>NPA_PS_14!N44+NPA_NPS_15!L43</f>
        <v>18035.11</v>
      </c>
      <c r="I44" s="161">
        <f t="shared" si="2"/>
        <v>18019.11</v>
      </c>
      <c r="L44" s="256">
        <v>0</v>
      </c>
      <c r="M44" s="66">
        <v>0</v>
      </c>
      <c r="N44" s="355">
        <f t="shared" si="3"/>
        <v>16</v>
      </c>
    </row>
    <row r="45" spans="1:14" ht="15" customHeight="1" x14ac:dyDescent="0.2">
      <c r="A45" s="179">
        <v>39</v>
      </c>
      <c r="B45" s="151" t="s">
        <v>221</v>
      </c>
      <c r="C45" s="256">
        <v>5935</v>
      </c>
      <c r="D45" s="66">
        <v>2139</v>
      </c>
      <c r="E45" s="256">
        <f>'Pri Sec_outstanding_6'!P45+NPS_OS_8!U45</f>
        <v>121349</v>
      </c>
      <c r="F45" s="256">
        <f>'CD Ratio_3(i)'!F45</f>
        <v>267846</v>
      </c>
      <c r="G45" s="272">
        <f t="shared" si="1"/>
        <v>0.79859322147801348</v>
      </c>
      <c r="H45" s="36">
        <f>NPA_PS_14!N45+NPA_NPS_15!L44</f>
        <v>1538</v>
      </c>
      <c r="I45" s="161">
        <f t="shared" si="2"/>
        <v>-601</v>
      </c>
      <c r="L45" s="256">
        <v>5935</v>
      </c>
      <c r="M45" s="66">
        <v>2139</v>
      </c>
      <c r="N45" s="355">
        <f t="shared" si="3"/>
        <v>0</v>
      </c>
    </row>
    <row r="46" spans="1:14" ht="15" customHeight="1" x14ac:dyDescent="0.2">
      <c r="A46" s="179">
        <v>40</v>
      </c>
      <c r="B46" s="151" t="s">
        <v>222</v>
      </c>
      <c r="C46" s="256">
        <v>49</v>
      </c>
      <c r="D46" s="66">
        <v>229</v>
      </c>
      <c r="E46" s="256">
        <f>'Pri Sec_outstanding_6'!P46+NPS_OS_8!U46</f>
        <v>469</v>
      </c>
      <c r="F46" s="256">
        <f>'CD Ratio_3(i)'!F46</f>
        <v>3241</v>
      </c>
      <c r="G46" s="272">
        <f t="shared" si="1"/>
        <v>7.0657204566491822</v>
      </c>
      <c r="H46" s="36">
        <f>NPA_PS_14!N46+NPA_NPS_15!L45</f>
        <v>830</v>
      </c>
      <c r="I46" s="161">
        <f t="shared" si="2"/>
        <v>601</v>
      </c>
      <c r="L46" s="256">
        <v>0</v>
      </c>
      <c r="M46" s="66">
        <v>0</v>
      </c>
      <c r="N46" s="355">
        <f t="shared" si="3"/>
        <v>229</v>
      </c>
    </row>
    <row r="47" spans="1:14" ht="15" customHeight="1" x14ac:dyDescent="0.2">
      <c r="A47" s="179">
        <v>41</v>
      </c>
      <c r="B47" s="151" t="s">
        <v>223</v>
      </c>
      <c r="C47" s="256">
        <v>24</v>
      </c>
      <c r="D47" s="66">
        <v>1040.58</v>
      </c>
      <c r="E47" s="256">
        <f>'Pri Sec_outstanding_6'!P47+NPS_OS_8!U47</f>
        <v>2017</v>
      </c>
      <c r="F47" s="256">
        <f>'CD Ratio_3(i)'!F47</f>
        <v>31778</v>
      </c>
      <c r="G47" s="272">
        <f t="shared" si="1"/>
        <v>3.2745295487444142</v>
      </c>
      <c r="H47" s="36">
        <f>NPA_PS_14!N47+NPA_NPS_15!L46</f>
        <v>566</v>
      </c>
      <c r="I47" s="161">
        <f t="shared" si="2"/>
        <v>-474.57999999999993</v>
      </c>
      <c r="L47" s="256">
        <v>31</v>
      </c>
      <c r="M47" s="66">
        <v>1033.99</v>
      </c>
      <c r="N47" s="355">
        <f t="shared" si="3"/>
        <v>6.5899999999999181</v>
      </c>
    </row>
    <row r="48" spans="1:14" ht="15" customHeight="1" x14ac:dyDescent="0.2">
      <c r="A48" s="179">
        <v>42</v>
      </c>
      <c r="B48" s="151" t="s">
        <v>224</v>
      </c>
      <c r="C48" s="256">
        <v>0</v>
      </c>
      <c r="D48" s="66">
        <v>0</v>
      </c>
      <c r="E48" s="256">
        <f>'Pri Sec_outstanding_6'!P48+NPS_OS_8!U48</f>
        <v>201</v>
      </c>
      <c r="F48" s="256">
        <f>'CD Ratio_3(i)'!F48</f>
        <v>13802</v>
      </c>
      <c r="G48" s="272">
        <f t="shared" si="1"/>
        <v>0</v>
      </c>
      <c r="H48" s="36">
        <f>NPA_PS_14!N48+NPA_NPS_15!L47</f>
        <v>475</v>
      </c>
      <c r="I48" s="161">
        <f t="shared" si="2"/>
        <v>475</v>
      </c>
      <c r="L48" s="256">
        <v>0</v>
      </c>
      <c r="M48" s="66">
        <v>0</v>
      </c>
      <c r="N48" s="355">
        <f t="shared" si="3"/>
        <v>0</v>
      </c>
    </row>
    <row r="49" spans="1:14" ht="15" customHeight="1" x14ac:dyDescent="0.2">
      <c r="A49" s="179">
        <v>43</v>
      </c>
      <c r="B49" s="151" t="s">
        <v>73</v>
      </c>
      <c r="C49" s="256">
        <v>1507</v>
      </c>
      <c r="D49" s="66">
        <v>4595</v>
      </c>
      <c r="E49" s="256">
        <f>'Pri Sec_outstanding_6'!P49+NPS_OS_8!U49</f>
        <v>40174</v>
      </c>
      <c r="F49" s="256">
        <f>'CD Ratio_3(i)'!F49</f>
        <v>223050</v>
      </c>
      <c r="G49" s="272">
        <f t="shared" si="1"/>
        <v>2.0600762160950459</v>
      </c>
      <c r="H49" s="36">
        <f>NPA_PS_14!N49+NPA_NPS_15!L48</f>
        <v>4377</v>
      </c>
      <c r="I49" s="161">
        <f t="shared" si="2"/>
        <v>-218</v>
      </c>
      <c r="L49" s="256">
        <v>1338</v>
      </c>
      <c r="M49" s="66">
        <v>4099</v>
      </c>
      <c r="N49" s="355">
        <f t="shared" si="3"/>
        <v>496</v>
      </c>
    </row>
    <row r="50" spans="1:14" ht="15" customHeight="1" x14ac:dyDescent="0.2">
      <c r="A50" s="179">
        <v>44</v>
      </c>
      <c r="B50" s="151" t="s">
        <v>225</v>
      </c>
      <c r="C50" s="256">
        <v>7</v>
      </c>
      <c r="D50" s="66">
        <v>25</v>
      </c>
      <c r="E50" s="256">
        <f>'Pri Sec_outstanding_6'!P50+NPS_OS_8!U50</f>
        <v>164</v>
      </c>
      <c r="F50" s="256">
        <f>'CD Ratio_3(i)'!F50</f>
        <v>4538</v>
      </c>
      <c r="G50" s="272">
        <f t="shared" si="1"/>
        <v>0.55090348171000436</v>
      </c>
      <c r="H50" s="36">
        <f>NPA_PS_14!N50+NPA_NPS_15!L49</f>
        <v>243</v>
      </c>
      <c r="I50" s="161">
        <f t="shared" si="2"/>
        <v>218</v>
      </c>
      <c r="L50" s="256">
        <v>7</v>
      </c>
      <c r="M50" s="66">
        <v>24.62</v>
      </c>
      <c r="N50" s="355">
        <f t="shared" si="3"/>
        <v>0.37999999999999901</v>
      </c>
    </row>
    <row r="51" spans="1:14" ht="15" customHeight="1" x14ac:dyDescent="0.2">
      <c r="A51" s="179">
        <v>45</v>
      </c>
      <c r="B51" s="151" t="s">
        <v>226</v>
      </c>
      <c r="C51" s="256">
        <v>1276</v>
      </c>
      <c r="D51" s="66">
        <v>137.4</v>
      </c>
      <c r="E51" s="256">
        <f>'Pri Sec_outstanding_6'!P51+NPS_OS_8!U51</f>
        <v>173170</v>
      </c>
      <c r="F51" s="256">
        <f>'CD Ratio_3(i)'!F51</f>
        <v>82932</v>
      </c>
      <c r="G51" s="272">
        <f t="shared" si="1"/>
        <v>0.16567790478946606</v>
      </c>
      <c r="H51" s="36">
        <f>NPA_PS_14!N51+NPA_NPS_15!L50</f>
        <v>137.4</v>
      </c>
      <c r="I51" s="161">
        <f t="shared" si="2"/>
        <v>0</v>
      </c>
      <c r="L51" s="256">
        <v>1463</v>
      </c>
      <c r="M51" s="66">
        <v>222.9</v>
      </c>
      <c r="N51" s="355">
        <f t="shared" si="3"/>
        <v>-85.5</v>
      </c>
    </row>
    <row r="52" spans="1:14" ht="15" customHeight="1" x14ac:dyDescent="0.2">
      <c r="A52" s="179">
        <v>46</v>
      </c>
      <c r="B52" s="151" t="s">
        <v>227</v>
      </c>
      <c r="C52" s="256">
        <v>0</v>
      </c>
      <c r="D52" s="66">
        <v>0</v>
      </c>
      <c r="E52" s="256">
        <f>'Pri Sec_outstanding_6'!P52+NPS_OS_8!U52</f>
        <v>189</v>
      </c>
      <c r="F52" s="256">
        <f>'CD Ratio_3(i)'!F52</f>
        <v>5218.17</v>
      </c>
      <c r="G52" s="272">
        <f t="shared" si="1"/>
        <v>0</v>
      </c>
      <c r="H52" s="36">
        <f>NPA_PS_14!N52+NPA_NPS_15!L51</f>
        <v>0</v>
      </c>
      <c r="I52" s="161">
        <f t="shared" si="2"/>
        <v>0</v>
      </c>
      <c r="L52" s="256">
        <v>0</v>
      </c>
      <c r="M52" s="66">
        <v>0</v>
      </c>
      <c r="N52" s="355">
        <f t="shared" si="3"/>
        <v>0</v>
      </c>
    </row>
    <row r="53" spans="1:14" ht="15" customHeight="1" x14ac:dyDescent="0.2">
      <c r="A53" s="179">
        <v>47</v>
      </c>
      <c r="B53" s="151" t="s">
        <v>77</v>
      </c>
      <c r="C53" s="256">
        <v>0</v>
      </c>
      <c r="D53" s="66">
        <v>0</v>
      </c>
      <c r="E53" s="256">
        <f>'Pri Sec_outstanding_6'!P53+NPS_OS_8!U53</f>
        <v>68</v>
      </c>
      <c r="F53" s="256">
        <f>'CD Ratio_3(i)'!F53</f>
        <v>6120</v>
      </c>
      <c r="G53" s="272">
        <f t="shared" si="1"/>
        <v>0</v>
      </c>
      <c r="H53" s="36">
        <f>NPA_PS_14!N53+NPA_NPS_15!L52</f>
        <v>0</v>
      </c>
      <c r="I53" s="161">
        <f t="shared" si="2"/>
        <v>0</v>
      </c>
      <c r="L53" s="256">
        <v>0</v>
      </c>
      <c r="M53" s="66">
        <v>0</v>
      </c>
      <c r="N53" s="355">
        <f t="shared" si="3"/>
        <v>0</v>
      </c>
    </row>
    <row r="54" spans="1:14" ht="15" customHeight="1" x14ac:dyDescent="0.2">
      <c r="A54" s="179">
        <v>48</v>
      </c>
      <c r="B54" s="151" t="s">
        <v>228</v>
      </c>
      <c r="C54" s="256">
        <v>0</v>
      </c>
      <c r="D54" s="66">
        <v>0</v>
      </c>
      <c r="E54" s="256">
        <f>'Pri Sec_outstanding_6'!P54+NPS_OS_8!U54</f>
        <v>53</v>
      </c>
      <c r="F54" s="256">
        <f>'CD Ratio_3(i)'!F54</f>
        <v>5163</v>
      </c>
      <c r="G54" s="272">
        <f t="shared" si="1"/>
        <v>0</v>
      </c>
      <c r="H54" s="36">
        <f>NPA_PS_14!N54+NPA_NPS_15!L53</f>
        <v>0</v>
      </c>
      <c r="I54" s="161">
        <f t="shared" si="2"/>
        <v>0</v>
      </c>
      <c r="L54" s="256">
        <v>0</v>
      </c>
      <c r="M54" s="66">
        <v>0</v>
      </c>
      <c r="N54" s="355">
        <f t="shared" si="3"/>
        <v>0</v>
      </c>
    </row>
    <row r="55" spans="1:14" ht="15" customHeight="1" x14ac:dyDescent="0.2">
      <c r="A55" s="179">
        <v>49</v>
      </c>
      <c r="B55" s="151" t="s">
        <v>76</v>
      </c>
      <c r="C55" s="256">
        <v>8</v>
      </c>
      <c r="D55" s="66">
        <v>738</v>
      </c>
      <c r="E55" s="256">
        <f>'Pri Sec_outstanding_6'!P55+NPS_OS_8!U55</f>
        <v>19460</v>
      </c>
      <c r="F55" s="256">
        <f>'CD Ratio_3(i)'!F55</f>
        <v>73566</v>
      </c>
      <c r="G55" s="272">
        <f t="shared" si="1"/>
        <v>1.0031808172253487</v>
      </c>
      <c r="H55" s="36">
        <f>NPA_PS_14!N55+NPA_NPS_15!L54</f>
        <v>738</v>
      </c>
      <c r="I55" s="161">
        <f t="shared" si="2"/>
        <v>0</v>
      </c>
      <c r="L55" s="256">
        <v>11</v>
      </c>
      <c r="M55" s="66">
        <v>348.65</v>
      </c>
      <c r="N55" s="355">
        <f t="shared" si="3"/>
        <v>389.35</v>
      </c>
    </row>
    <row r="56" spans="1:14" s="42" customFormat="1" ht="15" customHeight="1" x14ac:dyDescent="0.2">
      <c r="A56" s="154"/>
      <c r="B56" s="154" t="s">
        <v>289</v>
      </c>
      <c r="C56" s="258">
        <f>SUM(C34:C55)</f>
        <v>30760</v>
      </c>
      <c r="D56" s="258">
        <f>SUM(D34:D55)</f>
        <v>72185.7</v>
      </c>
      <c r="E56" s="258">
        <f>'Pri Sec_outstanding_6'!P56+NPS_OS_8!U56</f>
        <v>1630697</v>
      </c>
      <c r="F56" s="258">
        <f>'CD Ratio_3(i)'!F56</f>
        <v>3674395.41</v>
      </c>
      <c r="G56" s="273">
        <f t="shared" si="1"/>
        <v>1.9645599328679761</v>
      </c>
      <c r="H56" s="42">
        <f>NPA_PS_14!N56+NPA_NPS_15!L55</f>
        <v>35051.96</v>
      </c>
      <c r="I56" s="275">
        <f t="shared" si="2"/>
        <v>-37133.74</v>
      </c>
      <c r="J56" s="275"/>
      <c r="K56" s="161"/>
      <c r="L56" s="258">
        <v>29729</v>
      </c>
      <c r="M56" s="353">
        <v>52014.880000000005</v>
      </c>
      <c r="N56" s="355">
        <f t="shared" si="3"/>
        <v>20170.819999999992</v>
      </c>
    </row>
    <row r="57" spans="1:14" ht="15" customHeight="1" x14ac:dyDescent="0.2">
      <c r="A57" s="179">
        <v>50</v>
      </c>
      <c r="B57" s="151" t="s">
        <v>46</v>
      </c>
      <c r="C57" s="256">
        <v>89471</v>
      </c>
      <c r="D57" s="66">
        <v>47760.49</v>
      </c>
      <c r="E57" s="256">
        <f>'Pri Sec_outstanding_6'!P57+NPS_OS_8!U57</f>
        <v>393528</v>
      </c>
      <c r="F57" s="256">
        <f>'CD Ratio_3(i)'!F57</f>
        <v>385805</v>
      </c>
      <c r="G57" s="272">
        <f t="shared" si="1"/>
        <v>12.37943779888804</v>
      </c>
      <c r="H57" s="36">
        <f>NPA_PS_14!N57+NPA_NPS_15!L56</f>
        <v>81801.34</v>
      </c>
      <c r="I57" s="161">
        <f t="shared" si="2"/>
        <v>34040.85</v>
      </c>
      <c r="L57" s="256">
        <v>91981</v>
      </c>
      <c r="M57" s="66">
        <v>48587</v>
      </c>
      <c r="N57" s="355">
        <f t="shared" si="3"/>
        <v>-826.51000000000204</v>
      </c>
    </row>
    <row r="58" spans="1:14" ht="15" customHeight="1" x14ac:dyDescent="0.2">
      <c r="A58" s="179">
        <v>51</v>
      </c>
      <c r="B58" s="151" t="s">
        <v>229</v>
      </c>
      <c r="C58" s="256">
        <v>78047</v>
      </c>
      <c r="D58" s="66">
        <v>52302</v>
      </c>
      <c r="E58" s="256">
        <f>'Pri Sec_outstanding_6'!P58+NPS_OS_8!U58</f>
        <v>416283</v>
      </c>
      <c r="F58" s="256">
        <f>'CD Ratio_3(i)'!F58</f>
        <v>250413</v>
      </c>
      <c r="G58" s="272">
        <f t="shared" si="1"/>
        <v>20.886295839273519</v>
      </c>
      <c r="H58" s="36">
        <f>NPA_PS_14!N58+NPA_NPS_15!L57</f>
        <v>53973.59</v>
      </c>
      <c r="I58" s="161">
        <f t="shared" si="2"/>
        <v>1671.5899999999965</v>
      </c>
      <c r="L58" s="256">
        <v>81025</v>
      </c>
      <c r="M58" s="66">
        <v>53337</v>
      </c>
      <c r="N58" s="355">
        <f t="shared" si="3"/>
        <v>-1035</v>
      </c>
    </row>
    <row r="59" spans="1:14" ht="15" customHeight="1" x14ac:dyDescent="0.2">
      <c r="A59" s="179">
        <v>52</v>
      </c>
      <c r="B59" s="151" t="s">
        <v>52</v>
      </c>
      <c r="C59" s="256">
        <v>19460</v>
      </c>
      <c r="D59" s="66">
        <v>14585.12</v>
      </c>
      <c r="E59" s="256">
        <f>'Pri Sec_outstanding_6'!P59+NPS_OS_8!U59</f>
        <v>352876</v>
      </c>
      <c r="F59" s="256">
        <f>'CD Ratio_3(i)'!F59</f>
        <v>423208</v>
      </c>
      <c r="G59" s="272">
        <f t="shared" si="1"/>
        <v>3.4463242660819264</v>
      </c>
      <c r="H59" s="36">
        <f>NPA_PS_14!N59+NPA_NPS_15!L58</f>
        <v>15665.659999999998</v>
      </c>
      <c r="I59" s="161">
        <f t="shared" si="2"/>
        <v>1080.5399999999972</v>
      </c>
      <c r="L59" s="256">
        <v>22175</v>
      </c>
      <c r="M59" s="66">
        <v>16533.05</v>
      </c>
      <c r="N59" s="355">
        <f t="shared" si="3"/>
        <v>-1947.9299999999985</v>
      </c>
    </row>
    <row r="60" spans="1:14" s="42" customFormat="1" ht="15" customHeight="1" x14ac:dyDescent="0.2">
      <c r="A60" s="276"/>
      <c r="B60" s="187" t="s">
        <v>298</v>
      </c>
      <c r="C60" s="258">
        <f>SUM(C57:C59)</f>
        <v>186978</v>
      </c>
      <c r="D60" s="258">
        <f>SUM(D57:D59)</f>
        <v>114647.60999999999</v>
      </c>
      <c r="E60" s="258">
        <f>'Pri Sec_outstanding_6'!P60+NPS_OS_8!U60</f>
        <v>1162687</v>
      </c>
      <c r="F60" s="258">
        <f>'CD Ratio_3(i)'!F60</f>
        <v>1059426</v>
      </c>
      <c r="G60" s="273">
        <f t="shared" si="1"/>
        <v>10.821672301793612</v>
      </c>
      <c r="I60" s="275"/>
      <c r="J60" s="275"/>
      <c r="K60" s="161"/>
      <c r="L60" s="258">
        <v>195181</v>
      </c>
      <c r="M60" s="353">
        <v>118457.05</v>
      </c>
      <c r="N60" s="355">
        <f t="shared" si="3"/>
        <v>-3809.4400000000169</v>
      </c>
    </row>
    <row r="61" spans="1:14" ht="15" customHeight="1" x14ac:dyDescent="0.2">
      <c r="A61" s="274">
        <v>53</v>
      </c>
      <c r="B61" s="184" t="s">
        <v>290</v>
      </c>
      <c r="C61" s="256">
        <v>0</v>
      </c>
      <c r="D61" s="66">
        <v>270486</v>
      </c>
      <c r="E61" s="256">
        <f>'Pri Sec_outstanding_6'!P61+NPS_OS_8!U61</f>
        <v>5686238</v>
      </c>
      <c r="F61" s="256">
        <f>'CD Ratio_3(i)'!F61</f>
        <v>2414164</v>
      </c>
      <c r="G61" s="272">
        <f t="shared" si="1"/>
        <v>11.204126977289032</v>
      </c>
      <c r="L61" s="256">
        <v>0</v>
      </c>
      <c r="M61" s="66">
        <v>270486</v>
      </c>
      <c r="N61" s="355">
        <f t="shared" si="3"/>
        <v>0</v>
      </c>
    </row>
    <row r="62" spans="1:14" s="42" customFormat="1" ht="15" customHeight="1" x14ac:dyDescent="0.2">
      <c r="A62" s="276"/>
      <c r="B62" s="187" t="s">
        <v>291</v>
      </c>
      <c r="C62" s="258">
        <f>C61</f>
        <v>0</v>
      </c>
      <c r="D62" s="258">
        <f>D61</f>
        <v>270486</v>
      </c>
      <c r="E62" s="258">
        <f>'Pri Sec_outstanding_6'!P62+NPS_OS_8!U62</f>
        <v>5686238</v>
      </c>
      <c r="F62" s="258">
        <f>'CD Ratio_3(i)'!F62</f>
        <v>2414164</v>
      </c>
      <c r="G62" s="273">
        <f t="shared" si="1"/>
        <v>11.204126977289032</v>
      </c>
      <c r="I62" s="275"/>
      <c r="J62" s="275"/>
      <c r="K62" s="161"/>
      <c r="L62" s="258">
        <v>0</v>
      </c>
      <c r="M62" s="353">
        <v>270486</v>
      </c>
      <c r="N62" s="355">
        <f t="shared" si="3"/>
        <v>0</v>
      </c>
    </row>
    <row r="63" spans="1:14" s="42" customFormat="1" ht="15" customHeight="1" x14ac:dyDescent="0.2">
      <c r="A63" s="276"/>
      <c r="B63" s="187" t="s">
        <v>292</v>
      </c>
      <c r="C63" s="258">
        <f>C62+C60+C56+C33</f>
        <v>621938</v>
      </c>
      <c r="D63" s="258">
        <f>D62+D60+D56+D33</f>
        <v>1494565.58</v>
      </c>
      <c r="E63" s="258">
        <f>'Pri Sec_outstanding_6'!P63+NPS_OS_8!U63</f>
        <v>12148456</v>
      </c>
      <c r="F63" s="258">
        <f>'CD Ratio_3(i)'!F63</f>
        <v>22192162.659999996</v>
      </c>
      <c r="G63" s="273">
        <f t="shared" si="1"/>
        <v>6.7346549450714965</v>
      </c>
      <c r="I63" s="275"/>
      <c r="J63" s="275"/>
      <c r="K63" s="161"/>
      <c r="L63" s="258">
        <v>635026</v>
      </c>
      <c r="M63" s="353">
        <v>1368168.9500000002</v>
      </c>
      <c r="N63" s="355">
        <f t="shared" si="3"/>
        <v>126396.62999999989</v>
      </c>
    </row>
    <row r="65" spans="2:6" x14ac:dyDescent="0.2">
      <c r="B65" s="161" t="s">
        <v>1225</v>
      </c>
      <c r="C65" s="161"/>
      <c r="D65" s="161"/>
      <c r="E65" s="161"/>
      <c r="F65" s="161"/>
    </row>
  </sheetData>
  <sheetProtection formatCells="0" formatColumns="0" formatRows="0" insertColumns="0" insertRows="0" insertHyperlinks="0" deleteColumns="0" deleteRows="0" selectLockedCells="1" sort="0" autoFilter="0" pivotTables="0"/>
  <mergeCells count="11">
    <mergeCell ref="L4:M4"/>
    <mergeCell ref="N4:N5"/>
    <mergeCell ref="A1:G1"/>
    <mergeCell ref="E4:F4"/>
    <mergeCell ref="G4:G5"/>
    <mergeCell ref="A2:F2"/>
    <mergeCell ref="C3:D3"/>
    <mergeCell ref="A4:A5"/>
    <mergeCell ref="B4:B5"/>
    <mergeCell ref="E3:F3"/>
    <mergeCell ref="C4:D4"/>
  </mergeCells>
  <phoneticPr fontId="9" type="noConversion"/>
  <conditionalFormatting sqref="C3">
    <cfRule type="cellIs" dxfId="96" priority="15" operator="lessThan">
      <formula>0</formula>
    </cfRule>
  </conditionalFormatting>
  <conditionalFormatting sqref="E3">
    <cfRule type="cellIs" dxfId="95" priority="14" operator="lessThan">
      <formula>0</formula>
    </cfRule>
  </conditionalFormatting>
  <conditionalFormatting sqref="B6">
    <cfRule type="duplicateValues" dxfId="94" priority="8"/>
  </conditionalFormatting>
  <conditionalFormatting sqref="B22">
    <cfRule type="duplicateValues" dxfId="93" priority="9"/>
  </conditionalFormatting>
  <conditionalFormatting sqref="B33:B34 B26:B30">
    <cfRule type="duplicateValues" dxfId="92" priority="10"/>
  </conditionalFormatting>
  <conditionalFormatting sqref="B52">
    <cfRule type="duplicateValues" dxfId="91" priority="11"/>
  </conditionalFormatting>
  <conditionalFormatting sqref="B56">
    <cfRule type="duplicateValues" dxfId="90" priority="12"/>
  </conditionalFormatting>
  <conditionalFormatting sqref="B58">
    <cfRule type="duplicateValues" dxfId="89" priority="13"/>
  </conditionalFormatting>
  <conditionalFormatting sqref="K6:K63">
    <cfRule type="cellIs" dxfId="88" priority="7" operator="greaterThan">
      <formula>100</formula>
    </cfRule>
  </conditionalFormatting>
  <pageMargins left="1.2" right="0.7" top="0.25" bottom="0.25" header="0.3" footer="0.3"/>
  <pageSetup scale="7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Q69"/>
  <sheetViews>
    <sheetView view="pageBreakPreview" zoomScale="60" zoomScaleNormal="100" workbookViewId="0">
      <pane xSplit="2" ySplit="5" topLeftCell="C36" activePane="bottomRight" state="frozen"/>
      <selection pane="topRight" activeCell="C1" sqref="C1"/>
      <selection pane="bottomLeft" activeCell="A6" sqref="A6"/>
      <selection pane="bottomRight" activeCell="A65" sqref="A65:XFD69"/>
    </sheetView>
  </sheetViews>
  <sheetFormatPr defaultRowHeight="12.75" x14ac:dyDescent="0.2"/>
  <cols>
    <col min="1" max="1" width="5.7109375" style="168" customWidth="1"/>
    <col min="2" max="2" width="29" style="168" customWidth="1"/>
    <col min="3" max="4" width="10.42578125" style="168" bestFit="1" customWidth="1"/>
    <col min="5" max="5" width="8.7109375" style="168" bestFit="1" customWidth="1"/>
    <col min="6" max="6" width="9" style="168" bestFit="1" customWidth="1"/>
    <col min="7" max="7" width="7" style="168" customWidth="1"/>
    <col min="8" max="8" width="8.7109375" style="168" bestFit="1" customWidth="1"/>
    <col min="9" max="9" width="9.85546875" style="168" bestFit="1" customWidth="1"/>
    <col min="10" max="10" width="10.5703125" style="168" bestFit="1" customWidth="1"/>
    <col min="11" max="12" width="9.140625" style="168" bestFit="1" customWidth="1"/>
    <col min="13" max="13" width="10.140625" style="168" bestFit="1" customWidth="1"/>
    <col min="14" max="14" width="10.42578125" style="168" bestFit="1" customWidth="1"/>
    <col min="15" max="15" width="11.42578125" style="171" hidden="1" customWidth="1"/>
    <col min="16" max="16" width="0" style="168" hidden="1" customWidth="1"/>
    <col min="17" max="16384" width="9.140625" style="168"/>
  </cols>
  <sheetData>
    <row r="1" spans="1:17" ht="14.25" customHeight="1" x14ac:dyDescent="0.2">
      <c r="A1" s="514" t="s">
        <v>361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</row>
    <row r="2" spans="1:17" ht="15.75" x14ac:dyDescent="0.2">
      <c r="A2" s="519" t="s">
        <v>31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</row>
    <row r="3" spans="1:17" ht="14.25" x14ac:dyDescent="0.2">
      <c r="A3" s="170"/>
      <c r="B3" s="169" t="s">
        <v>12</v>
      </c>
      <c r="C3" s="170"/>
      <c r="D3" s="170"/>
      <c r="E3" s="170"/>
      <c r="F3" s="170"/>
      <c r="G3" s="170"/>
      <c r="H3" s="170"/>
      <c r="K3" s="170"/>
      <c r="L3" s="533" t="s">
        <v>169</v>
      </c>
      <c r="M3" s="533"/>
    </row>
    <row r="4" spans="1:17" ht="15" customHeight="1" x14ac:dyDescent="0.2">
      <c r="A4" s="525" t="s">
        <v>231</v>
      </c>
      <c r="B4" s="527" t="s">
        <v>3</v>
      </c>
      <c r="C4" s="530" t="s">
        <v>18</v>
      </c>
      <c r="D4" s="531"/>
      <c r="E4" s="530" t="s">
        <v>19</v>
      </c>
      <c r="F4" s="531"/>
      <c r="G4" s="530" t="s">
        <v>20</v>
      </c>
      <c r="H4" s="531"/>
      <c r="I4" s="530" t="s">
        <v>24</v>
      </c>
      <c r="J4" s="531"/>
      <c r="K4" s="532" t="s">
        <v>38</v>
      </c>
      <c r="L4" s="532"/>
      <c r="M4" s="532" t="s">
        <v>112</v>
      </c>
      <c r="N4" s="532"/>
      <c r="O4" s="529" t="s">
        <v>116</v>
      </c>
    </row>
    <row r="5" spans="1:17" ht="15" customHeight="1" x14ac:dyDescent="0.2">
      <c r="A5" s="526"/>
      <c r="B5" s="528"/>
      <c r="C5" s="240" t="s">
        <v>30</v>
      </c>
      <c r="D5" s="240" t="s">
        <v>17</v>
      </c>
      <c r="E5" s="240" t="s">
        <v>30</v>
      </c>
      <c r="F5" s="240" t="s">
        <v>17</v>
      </c>
      <c r="G5" s="240" t="s">
        <v>30</v>
      </c>
      <c r="H5" s="240" t="s">
        <v>17</v>
      </c>
      <c r="I5" s="240" t="s">
        <v>30</v>
      </c>
      <c r="J5" s="240" t="s">
        <v>17</v>
      </c>
      <c r="K5" s="240" t="s">
        <v>30</v>
      </c>
      <c r="L5" s="240" t="s">
        <v>17</v>
      </c>
      <c r="M5" s="240" t="s">
        <v>30</v>
      </c>
      <c r="N5" s="240" t="s">
        <v>17</v>
      </c>
      <c r="O5" s="529"/>
    </row>
    <row r="6" spans="1:17" ht="15" customHeight="1" x14ac:dyDescent="0.2">
      <c r="A6" s="164">
        <v>1</v>
      </c>
      <c r="B6" s="165" t="s">
        <v>55</v>
      </c>
      <c r="C6" s="197">
        <v>9986</v>
      </c>
      <c r="D6" s="197">
        <v>20353.25</v>
      </c>
      <c r="E6" s="197">
        <v>294</v>
      </c>
      <c r="F6" s="259">
        <v>792</v>
      </c>
      <c r="G6" s="197">
        <v>226</v>
      </c>
      <c r="H6" s="197">
        <v>494.15</v>
      </c>
      <c r="I6" s="197">
        <v>4830</v>
      </c>
      <c r="J6" s="259">
        <v>33077.75</v>
      </c>
      <c r="K6" s="197">
        <v>311</v>
      </c>
      <c r="L6" s="197">
        <v>88.28</v>
      </c>
      <c r="M6" s="197">
        <f>C6+E6+G6+I6+K6</f>
        <v>15647</v>
      </c>
      <c r="N6" s="197">
        <f>D6+F6+H6+J6+L6</f>
        <v>54805.43</v>
      </c>
      <c r="O6" s="253" t="e">
        <f>N6*100/P6</f>
        <v>#REF!</v>
      </c>
      <c r="P6" s="260" t="e">
        <f>'Pri Sec_outstanding_6'!#REF!</f>
        <v>#REF!</v>
      </c>
      <c r="Q6" s="260"/>
    </row>
    <row r="7" spans="1:17" ht="15" customHeight="1" x14ac:dyDescent="0.2">
      <c r="A7" s="164">
        <v>2</v>
      </c>
      <c r="B7" s="165" t="s">
        <v>56</v>
      </c>
      <c r="C7" s="120">
        <v>7</v>
      </c>
      <c r="D7" s="120">
        <v>2480.8000000000002</v>
      </c>
      <c r="E7" s="120">
        <v>22</v>
      </c>
      <c r="F7" s="120">
        <v>255.35</v>
      </c>
      <c r="G7" s="120">
        <v>7</v>
      </c>
      <c r="H7" s="120">
        <v>11.1</v>
      </c>
      <c r="I7" s="120">
        <v>212</v>
      </c>
      <c r="J7" s="120">
        <v>1948.4</v>
      </c>
      <c r="K7" s="120">
        <v>50</v>
      </c>
      <c r="L7" s="120">
        <v>93.28</v>
      </c>
      <c r="M7" s="197">
        <f t="shared" ref="M7:M61" si="0">C7+E7+G7+I7+K7</f>
        <v>298</v>
      </c>
      <c r="N7" s="197">
        <f t="shared" ref="N7:N61" si="1">D7+F7+H7+J7+L7</f>
        <v>4788.9299999999994</v>
      </c>
      <c r="O7" s="253" t="e">
        <f>N7*100/P7</f>
        <v>#REF!</v>
      </c>
      <c r="P7" s="260" t="e">
        <f>'Pri Sec_outstanding_6'!#REF!</f>
        <v>#REF!</v>
      </c>
      <c r="Q7" s="260"/>
    </row>
    <row r="8" spans="1:17" ht="15" customHeight="1" x14ac:dyDescent="0.2">
      <c r="A8" s="164">
        <v>3</v>
      </c>
      <c r="B8" s="165" t="s">
        <v>57</v>
      </c>
      <c r="C8" s="120">
        <v>6685</v>
      </c>
      <c r="D8" s="120">
        <v>26825</v>
      </c>
      <c r="E8" s="120">
        <v>2612</v>
      </c>
      <c r="F8" s="120">
        <v>4355</v>
      </c>
      <c r="G8" s="120">
        <v>395</v>
      </c>
      <c r="H8" s="120">
        <v>1547</v>
      </c>
      <c r="I8" s="120">
        <v>2499</v>
      </c>
      <c r="J8" s="120">
        <v>22389</v>
      </c>
      <c r="K8" s="120">
        <v>319</v>
      </c>
      <c r="L8" s="120">
        <v>7744</v>
      </c>
      <c r="M8" s="197">
        <f t="shared" si="0"/>
        <v>12510</v>
      </c>
      <c r="N8" s="197">
        <f t="shared" si="1"/>
        <v>62860</v>
      </c>
      <c r="O8" s="253" t="e">
        <f t="shared" ref="O8:O59" si="2">N8*100/P8</f>
        <v>#REF!</v>
      </c>
      <c r="P8" s="260" t="e">
        <f>'Pri Sec_outstanding_6'!#REF!</f>
        <v>#REF!</v>
      </c>
      <c r="Q8" s="260"/>
    </row>
    <row r="9" spans="1:17" ht="15" customHeight="1" x14ac:dyDescent="0.2">
      <c r="A9" s="164">
        <v>4</v>
      </c>
      <c r="B9" s="165" t="s">
        <v>58</v>
      </c>
      <c r="C9" s="120">
        <v>16255</v>
      </c>
      <c r="D9" s="120">
        <v>28629</v>
      </c>
      <c r="E9" s="120">
        <v>1675</v>
      </c>
      <c r="F9" s="120">
        <v>694</v>
      </c>
      <c r="G9" s="120">
        <v>2853</v>
      </c>
      <c r="H9" s="120">
        <v>1789</v>
      </c>
      <c r="I9" s="120">
        <v>14730</v>
      </c>
      <c r="J9" s="120">
        <v>20482</v>
      </c>
      <c r="K9" s="120">
        <v>2198</v>
      </c>
      <c r="L9" s="120">
        <v>1824</v>
      </c>
      <c r="M9" s="197">
        <f t="shared" si="0"/>
        <v>37711</v>
      </c>
      <c r="N9" s="197">
        <f t="shared" si="1"/>
        <v>53418</v>
      </c>
      <c r="O9" s="253" t="e">
        <f t="shared" si="2"/>
        <v>#REF!</v>
      </c>
      <c r="P9" s="260" t="e">
        <f>'Pri Sec_outstanding_6'!#REF!</f>
        <v>#REF!</v>
      </c>
      <c r="Q9" s="260"/>
    </row>
    <row r="10" spans="1:17" ht="15" customHeight="1" x14ac:dyDescent="0.2">
      <c r="A10" s="164">
        <v>5</v>
      </c>
      <c r="B10" s="165" t="s">
        <v>59</v>
      </c>
      <c r="C10" s="120">
        <v>8676</v>
      </c>
      <c r="D10" s="120">
        <v>12371</v>
      </c>
      <c r="E10" s="120">
        <v>2225</v>
      </c>
      <c r="F10" s="120">
        <v>2963</v>
      </c>
      <c r="G10" s="120">
        <v>226</v>
      </c>
      <c r="H10" s="120">
        <v>324</v>
      </c>
      <c r="I10" s="120">
        <v>5593</v>
      </c>
      <c r="J10" s="120">
        <v>12520</v>
      </c>
      <c r="K10" s="120">
        <v>1401</v>
      </c>
      <c r="L10" s="120">
        <v>783</v>
      </c>
      <c r="M10" s="197">
        <f t="shared" si="0"/>
        <v>18121</v>
      </c>
      <c r="N10" s="197">
        <f t="shared" si="1"/>
        <v>28961</v>
      </c>
      <c r="O10" s="253" t="e">
        <f t="shared" si="2"/>
        <v>#REF!</v>
      </c>
      <c r="P10" s="260" t="e">
        <f>'Pri Sec_outstanding_6'!#REF!</f>
        <v>#REF!</v>
      </c>
      <c r="Q10" s="260"/>
    </row>
    <row r="11" spans="1:17" ht="15" customHeight="1" x14ac:dyDescent="0.2">
      <c r="A11" s="164">
        <v>6</v>
      </c>
      <c r="B11" s="257" t="s">
        <v>242</v>
      </c>
      <c r="C11" s="120">
        <v>0</v>
      </c>
      <c r="D11" s="120">
        <v>0</v>
      </c>
      <c r="E11" s="120">
        <v>0</v>
      </c>
      <c r="F11" s="120">
        <v>0</v>
      </c>
      <c r="G11" s="120">
        <v>0</v>
      </c>
      <c r="H11" s="120">
        <v>0</v>
      </c>
      <c r="I11" s="120">
        <v>0</v>
      </c>
      <c r="J11" s="120">
        <v>0</v>
      </c>
      <c r="K11" s="120">
        <v>3</v>
      </c>
      <c r="L11" s="120">
        <v>4.9400000000000004</v>
      </c>
      <c r="M11" s="197">
        <f t="shared" si="0"/>
        <v>3</v>
      </c>
      <c r="N11" s="197">
        <f t="shared" si="1"/>
        <v>4.9400000000000004</v>
      </c>
      <c r="O11" s="253" t="e">
        <f t="shared" si="2"/>
        <v>#REF!</v>
      </c>
      <c r="P11" s="260" t="e">
        <f>'Pri Sec_outstanding_6'!#REF!</f>
        <v>#REF!</v>
      </c>
      <c r="Q11" s="260"/>
    </row>
    <row r="12" spans="1:17" ht="15" customHeight="1" x14ac:dyDescent="0.2">
      <c r="A12" s="164">
        <v>7</v>
      </c>
      <c r="B12" s="165" t="s">
        <v>60</v>
      </c>
      <c r="C12" s="120">
        <v>2926</v>
      </c>
      <c r="D12" s="120">
        <v>5445</v>
      </c>
      <c r="E12" s="120">
        <v>208</v>
      </c>
      <c r="F12" s="120">
        <v>2063</v>
      </c>
      <c r="G12" s="120">
        <v>207</v>
      </c>
      <c r="H12" s="120">
        <v>428</v>
      </c>
      <c r="I12" s="120">
        <v>2261</v>
      </c>
      <c r="J12" s="120">
        <v>12827</v>
      </c>
      <c r="K12" s="120">
        <v>242</v>
      </c>
      <c r="L12" s="120">
        <v>111</v>
      </c>
      <c r="M12" s="197">
        <f t="shared" si="0"/>
        <v>5844</v>
      </c>
      <c r="N12" s="197">
        <f t="shared" si="1"/>
        <v>20874</v>
      </c>
      <c r="O12" s="253" t="e">
        <f t="shared" si="2"/>
        <v>#REF!</v>
      </c>
      <c r="P12" s="260" t="e">
        <f>'Pri Sec_outstanding_6'!#REF!</f>
        <v>#REF!</v>
      </c>
      <c r="Q12" s="260"/>
    </row>
    <row r="13" spans="1:17" ht="15" customHeight="1" x14ac:dyDescent="0.2">
      <c r="A13" s="164">
        <v>8</v>
      </c>
      <c r="B13" s="165" t="s">
        <v>61</v>
      </c>
      <c r="C13" s="120">
        <v>21461</v>
      </c>
      <c r="D13" s="120">
        <v>33054</v>
      </c>
      <c r="E13" s="120">
        <v>9077</v>
      </c>
      <c r="F13" s="120">
        <v>8177</v>
      </c>
      <c r="G13" s="120">
        <v>1011</v>
      </c>
      <c r="H13" s="120">
        <v>1713</v>
      </c>
      <c r="I13" s="120">
        <v>33621</v>
      </c>
      <c r="J13" s="120">
        <v>23804</v>
      </c>
      <c r="K13" s="120">
        <v>1379</v>
      </c>
      <c r="L13" s="120">
        <v>234</v>
      </c>
      <c r="M13" s="197">
        <f t="shared" si="0"/>
        <v>66549</v>
      </c>
      <c r="N13" s="197">
        <f t="shared" si="1"/>
        <v>66982</v>
      </c>
      <c r="O13" s="253" t="e">
        <f t="shared" si="2"/>
        <v>#REF!</v>
      </c>
      <c r="P13" s="260" t="e">
        <f>'Pri Sec_outstanding_6'!#REF!</f>
        <v>#REF!</v>
      </c>
      <c r="Q13" s="260"/>
    </row>
    <row r="14" spans="1:17" ht="15" customHeight="1" x14ac:dyDescent="0.2">
      <c r="A14" s="164">
        <v>9</v>
      </c>
      <c r="B14" s="165" t="s">
        <v>48</v>
      </c>
      <c r="C14" s="120">
        <v>441</v>
      </c>
      <c r="D14" s="120">
        <v>1400</v>
      </c>
      <c r="E14" s="120">
        <v>15</v>
      </c>
      <c r="F14" s="120">
        <v>39</v>
      </c>
      <c r="G14" s="120">
        <v>24</v>
      </c>
      <c r="H14" s="120">
        <v>64</v>
      </c>
      <c r="I14" s="120">
        <v>436</v>
      </c>
      <c r="J14" s="120">
        <v>1125</v>
      </c>
      <c r="K14" s="120">
        <v>196</v>
      </c>
      <c r="L14" s="120">
        <v>233</v>
      </c>
      <c r="M14" s="197">
        <f t="shared" si="0"/>
        <v>1112</v>
      </c>
      <c r="N14" s="197">
        <f t="shared" si="1"/>
        <v>2861</v>
      </c>
      <c r="O14" s="253" t="e">
        <f t="shared" si="2"/>
        <v>#REF!</v>
      </c>
      <c r="P14" s="260" t="e">
        <f>'Pri Sec_outstanding_6'!#REF!</f>
        <v>#REF!</v>
      </c>
      <c r="Q14" s="260"/>
    </row>
    <row r="15" spans="1:17" ht="15" customHeight="1" x14ac:dyDescent="0.2">
      <c r="A15" s="164">
        <v>10</v>
      </c>
      <c r="B15" s="165" t="s">
        <v>49</v>
      </c>
      <c r="C15" s="120">
        <v>2636</v>
      </c>
      <c r="D15" s="120">
        <v>3913</v>
      </c>
      <c r="E15" s="120">
        <v>158</v>
      </c>
      <c r="F15" s="120">
        <v>320</v>
      </c>
      <c r="G15" s="120">
        <v>130</v>
      </c>
      <c r="H15" s="120">
        <v>166</v>
      </c>
      <c r="I15" s="120">
        <v>4371</v>
      </c>
      <c r="J15" s="120">
        <v>3867</v>
      </c>
      <c r="K15" s="120">
        <v>644</v>
      </c>
      <c r="L15" s="120">
        <v>305</v>
      </c>
      <c r="M15" s="197">
        <f t="shared" si="0"/>
        <v>7939</v>
      </c>
      <c r="N15" s="197">
        <f t="shared" si="1"/>
        <v>8571</v>
      </c>
      <c r="O15" s="253" t="e">
        <f t="shared" si="2"/>
        <v>#REF!</v>
      </c>
      <c r="P15" s="260" t="e">
        <f>'Pri Sec_outstanding_6'!#REF!</f>
        <v>#REF!</v>
      </c>
      <c r="Q15" s="260"/>
    </row>
    <row r="16" spans="1:17" ht="15" customHeight="1" x14ac:dyDescent="0.2">
      <c r="A16" s="164">
        <v>11</v>
      </c>
      <c r="B16" s="165" t="s">
        <v>81</v>
      </c>
      <c r="C16" s="120">
        <v>2762</v>
      </c>
      <c r="D16" s="120">
        <v>3715</v>
      </c>
      <c r="E16" s="120">
        <v>51</v>
      </c>
      <c r="F16" s="120">
        <v>515</v>
      </c>
      <c r="G16" s="120">
        <v>8</v>
      </c>
      <c r="H16" s="120">
        <v>21</v>
      </c>
      <c r="I16" s="120">
        <v>2445</v>
      </c>
      <c r="J16" s="120">
        <v>4535</v>
      </c>
      <c r="K16" s="120">
        <v>0</v>
      </c>
      <c r="L16" s="120">
        <v>0</v>
      </c>
      <c r="M16" s="197">
        <f t="shared" si="0"/>
        <v>5266</v>
      </c>
      <c r="N16" s="197">
        <f t="shared" si="1"/>
        <v>8786</v>
      </c>
      <c r="O16" s="253" t="e">
        <f t="shared" si="2"/>
        <v>#REF!</v>
      </c>
      <c r="P16" s="260" t="e">
        <f>'Pri Sec_outstanding_6'!#REF!</f>
        <v>#REF!</v>
      </c>
      <c r="Q16" s="260"/>
    </row>
    <row r="17" spans="1:17" ht="15" customHeight="1" x14ac:dyDescent="0.2">
      <c r="A17" s="164">
        <v>12</v>
      </c>
      <c r="B17" s="165" t="s">
        <v>62</v>
      </c>
      <c r="C17" s="120">
        <v>207</v>
      </c>
      <c r="D17" s="120">
        <v>282.35000000000002</v>
      </c>
      <c r="E17" s="120">
        <v>8</v>
      </c>
      <c r="F17" s="120">
        <v>21.27</v>
      </c>
      <c r="G17" s="120">
        <v>12</v>
      </c>
      <c r="H17" s="120">
        <v>17.59</v>
      </c>
      <c r="I17" s="120">
        <v>224</v>
      </c>
      <c r="J17" s="120">
        <v>407.82</v>
      </c>
      <c r="K17" s="120">
        <v>10</v>
      </c>
      <c r="L17" s="120">
        <v>43.16</v>
      </c>
      <c r="M17" s="197">
        <f t="shared" si="0"/>
        <v>461</v>
      </c>
      <c r="N17" s="197">
        <f t="shared" si="1"/>
        <v>772.18999999999994</v>
      </c>
      <c r="O17" s="253" t="e">
        <f t="shared" si="2"/>
        <v>#REF!</v>
      </c>
      <c r="P17" s="260" t="e">
        <f>'Pri Sec_outstanding_6'!#REF!</f>
        <v>#REF!</v>
      </c>
      <c r="Q17" s="260"/>
    </row>
    <row r="18" spans="1:17" ht="15" customHeight="1" x14ac:dyDescent="0.2">
      <c r="A18" s="164">
        <v>13</v>
      </c>
      <c r="B18" s="165" t="s">
        <v>63</v>
      </c>
      <c r="C18" s="120">
        <v>51</v>
      </c>
      <c r="D18" s="120">
        <v>95</v>
      </c>
      <c r="E18" s="120">
        <v>45</v>
      </c>
      <c r="F18" s="120">
        <v>98</v>
      </c>
      <c r="G18" s="120">
        <v>9</v>
      </c>
      <c r="H18" s="120">
        <v>21</v>
      </c>
      <c r="I18" s="120">
        <v>540</v>
      </c>
      <c r="J18" s="120">
        <v>525</v>
      </c>
      <c r="K18" s="120">
        <v>0</v>
      </c>
      <c r="L18" s="120">
        <v>0</v>
      </c>
      <c r="M18" s="197">
        <f t="shared" si="0"/>
        <v>645</v>
      </c>
      <c r="N18" s="197">
        <f t="shared" si="1"/>
        <v>739</v>
      </c>
      <c r="O18" s="253" t="e">
        <f t="shared" si="2"/>
        <v>#REF!</v>
      </c>
      <c r="P18" s="260" t="e">
        <f>'Pri Sec_outstanding_6'!#REF!</f>
        <v>#REF!</v>
      </c>
      <c r="Q18" s="260"/>
    </row>
    <row r="19" spans="1:17" ht="15" customHeight="1" x14ac:dyDescent="0.2">
      <c r="A19" s="164">
        <v>14</v>
      </c>
      <c r="B19" s="99" t="s">
        <v>207</v>
      </c>
      <c r="C19" s="120">
        <v>3041</v>
      </c>
      <c r="D19" s="120">
        <v>7008.07</v>
      </c>
      <c r="E19" s="120">
        <v>559</v>
      </c>
      <c r="F19" s="120">
        <v>579.92999999999995</v>
      </c>
      <c r="G19" s="120">
        <v>269</v>
      </c>
      <c r="H19" s="120">
        <v>394.04</v>
      </c>
      <c r="I19" s="120">
        <v>1860</v>
      </c>
      <c r="J19" s="120">
        <v>2331.71</v>
      </c>
      <c r="K19" s="120">
        <v>15</v>
      </c>
      <c r="L19" s="120">
        <v>654.01</v>
      </c>
      <c r="M19" s="197">
        <f t="shared" si="0"/>
        <v>5744</v>
      </c>
      <c r="N19" s="197">
        <f t="shared" si="1"/>
        <v>10967.76</v>
      </c>
      <c r="O19" s="253" t="e">
        <f t="shared" si="2"/>
        <v>#REF!</v>
      </c>
      <c r="P19" s="260" t="e">
        <f>'Pri Sec_outstanding_6'!#REF!</f>
        <v>#REF!</v>
      </c>
      <c r="Q19" s="260"/>
    </row>
    <row r="20" spans="1:17" ht="15" customHeight="1" x14ac:dyDescent="0.2">
      <c r="A20" s="164">
        <v>15</v>
      </c>
      <c r="B20" s="165" t="s">
        <v>208</v>
      </c>
      <c r="C20" s="120">
        <v>1441</v>
      </c>
      <c r="D20" s="120">
        <v>2422.06</v>
      </c>
      <c r="E20" s="120">
        <v>92</v>
      </c>
      <c r="F20" s="120">
        <v>150.61000000000001</v>
      </c>
      <c r="G20" s="120">
        <v>46</v>
      </c>
      <c r="H20" s="120">
        <v>67.3</v>
      </c>
      <c r="I20" s="120">
        <v>3001</v>
      </c>
      <c r="J20" s="120">
        <v>1059.4000000000001</v>
      </c>
      <c r="K20" s="120">
        <v>63</v>
      </c>
      <c r="L20" s="120">
        <v>164.12</v>
      </c>
      <c r="M20" s="197">
        <f t="shared" si="0"/>
        <v>4643</v>
      </c>
      <c r="N20" s="197">
        <f t="shared" si="1"/>
        <v>3863.4900000000002</v>
      </c>
      <c r="O20" s="253" t="e">
        <f t="shared" si="2"/>
        <v>#REF!</v>
      </c>
      <c r="P20" s="260" t="e">
        <f>'Pri Sec_outstanding_6'!#REF!</f>
        <v>#REF!</v>
      </c>
      <c r="Q20" s="260"/>
    </row>
    <row r="21" spans="1:17" ht="15" customHeight="1" x14ac:dyDescent="0.2">
      <c r="A21" s="164">
        <v>16</v>
      </c>
      <c r="B21" s="165" t="s">
        <v>64</v>
      </c>
      <c r="C21" s="120">
        <v>5080</v>
      </c>
      <c r="D21" s="120">
        <v>9486</v>
      </c>
      <c r="E21" s="120">
        <v>432</v>
      </c>
      <c r="F21" s="120">
        <v>1691</v>
      </c>
      <c r="G21" s="120">
        <v>209</v>
      </c>
      <c r="H21" s="120">
        <v>448</v>
      </c>
      <c r="I21" s="120">
        <v>2862</v>
      </c>
      <c r="J21" s="120">
        <v>57844</v>
      </c>
      <c r="K21" s="120">
        <v>326</v>
      </c>
      <c r="L21" s="120">
        <v>83</v>
      </c>
      <c r="M21" s="197">
        <f t="shared" si="0"/>
        <v>8909</v>
      </c>
      <c r="N21" s="197">
        <f t="shared" si="1"/>
        <v>69552</v>
      </c>
      <c r="O21" s="253" t="e">
        <f t="shared" si="2"/>
        <v>#REF!</v>
      </c>
      <c r="P21" s="260" t="e">
        <f>'Pri Sec_outstanding_6'!#REF!</f>
        <v>#REF!</v>
      </c>
      <c r="Q21" s="260"/>
    </row>
    <row r="22" spans="1:17" ht="15" customHeight="1" x14ac:dyDescent="0.2">
      <c r="A22" s="164">
        <v>17</v>
      </c>
      <c r="B22" s="99" t="s">
        <v>69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97">
        <f t="shared" si="0"/>
        <v>0</v>
      </c>
      <c r="N22" s="197">
        <f t="shared" si="1"/>
        <v>0</v>
      </c>
      <c r="O22" s="253" t="e">
        <f t="shared" si="2"/>
        <v>#REF!</v>
      </c>
      <c r="P22" s="260" t="e">
        <f>'Pri Sec_outstanding_6'!#REF!</f>
        <v>#REF!</v>
      </c>
      <c r="Q22" s="260"/>
    </row>
    <row r="23" spans="1:17" ht="15" customHeight="1" x14ac:dyDescent="0.2">
      <c r="A23" s="164">
        <v>18</v>
      </c>
      <c r="B23" s="99" t="s">
        <v>209</v>
      </c>
      <c r="C23" s="120">
        <v>0</v>
      </c>
      <c r="D23" s="120">
        <v>0</v>
      </c>
      <c r="E23" s="120">
        <v>41</v>
      </c>
      <c r="F23" s="120">
        <v>341.8</v>
      </c>
      <c r="G23" s="120">
        <v>0</v>
      </c>
      <c r="H23" s="120">
        <v>0</v>
      </c>
      <c r="I23" s="120">
        <v>1</v>
      </c>
      <c r="J23" s="120">
        <v>0.5</v>
      </c>
      <c r="K23" s="120">
        <v>0</v>
      </c>
      <c r="L23" s="120">
        <v>0</v>
      </c>
      <c r="M23" s="197">
        <f t="shared" si="0"/>
        <v>42</v>
      </c>
      <c r="N23" s="197">
        <f t="shared" si="1"/>
        <v>342.3</v>
      </c>
      <c r="O23" s="253" t="e">
        <f t="shared" si="2"/>
        <v>#REF!</v>
      </c>
      <c r="P23" s="260" t="e">
        <f>'Pri Sec_outstanding_6'!#REF!</f>
        <v>#REF!</v>
      </c>
      <c r="Q23" s="260"/>
    </row>
    <row r="24" spans="1:17" ht="15" customHeight="1" x14ac:dyDescent="0.2">
      <c r="A24" s="164">
        <v>19</v>
      </c>
      <c r="B24" s="120" t="s">
        <v>210</v>
      </c>
      <c r="C24" s="120">
        <v>2</v>
      </c>
      <c r="D24" s="120">
        <v>13</v>
      </c>
      <c r="E24" s="120">
        <v>8</v>
      </c>
      <c r="F24" s="120">
        <v>22</v>
      </c>
      <c r="G24" s="120">
        <v>4</v>
      </c>
      <c r="H24" s="120">
        <v>8</v>
      </c>
      <c r="I24" s="120">
        <v>151</v>
      </c>
      <c r="J24" s="120">
        <v>247</v>
      </c>
      <c r="K24" s="120">
        <v>23</v>
      </c>
      <c r="L24" s="120">
        <v>108</v>
      </c>
      <c r="M24" s="197">
        <f t="shared" si="0"/>
        <v>188</v>
      </c>
      <c r="N24" s="197">
        <f t="shared" si="1"/>
        <v>398</v>
      </c>
      <c r="O24" s="253" t="e">
        <f t="shared" si="2"/>
        <v>#REF!</v>
      </c>
      <c r="P24" s="260" t="e">
        <f>'Pri Sec_outstanding_6'!#REF!</f>
        <v>#REF!</v>
      </c>
      <c r="Q24" s="260"/>
    </row>
    <row r="25" spans="1:17" ht="15" customHeight="1" x14ac:dyDescent="0.2">
      <c r="A25" s="164">
        <v>20</v>
      </c>
      <c r="B25" s="165" t="s">
        <v>211</v>
      </c>
      <c r="C25" s="120">
        <v>0</v>
      </c>
      <c r="D25" s="120">
        <v>0</v>
      </c>
      <c r="E25" s="120">
        <v>0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18</v>
      </c>
      <c r="L25" s="120">
        <v>2661</v>
      </c>
      <c r="M25" s="197">
        <f t="shared" si="0"/>
        <v>18</v>
      </c>
      <c r="N25" s="197">
        <f t="shared" si="1"/>
        <v>2661</v>
      </c>
      <c r="O25" s="253" t="e">
        <f t="shared" si="2"/>
        <v>#REF!</v>
      </c>
      <c r="P25" s="260" t="e">
        <f>'Pri Sec_outstanding_6'!#REF!</f>
        <v>#REF!</v>
      </c>
      <c r="Q25" s="260"/>
    </row>
    <row r="26" spans="1:17" ht="15" customHeight="1" x14ac:dyDescent="0.2">
      <c r="A26" s="164">
        <v>21</v>
      </c>
      <c r="B26" s="165" t="s">
        <v>212</v>
      </c>
      <c r="C26" s="120">
        <v>22</v>
      </c>
      <c r="D26" s="120">
        <v>14</v>
      </c>
      <c r="E26" s="120">
        <v>20</v>
      </c>
      <c r="F26" s="120">
        <v>160</v>
      </c>
      <c r="G26" s="120">
        <v>7</v>
      </c>
      <c r="H26" s="120">
        <v>11.7</v>
      </c>
      <c r="I26" s="120">
        <v>247</v>
      </c>
      <c r="J26" s="120">
        <v>441</v>
      </c>
      <c r="K26" s="120">
        <v>0</v>
      </c>
      <c r="L26" s="120">
        <v>0</v>
      </c>
      <c r="M26" s="197">
        <f t="shared" si="0"/>
        <v>296</v>
      </c>
      <c r="N26" s="197">
        <f t="shared" si="1"/>
        <v>626.70000000000005</v>
      </c>
      <c r="O26" s="253" t="e">
        <f t="shared" si="2"/>
        <v>#REF!</v>
      </c>
      <c r="P26" s="260" t="e">
        <f>'Pri Sec_outstanding_6'!#REF!</f>
        <v>#REF!</v>
      </c>
      <c r="Q26" s="260"/>
    </row>
    <row r="27" spans="1:17" ht="15" customHeight="1" x14ac:dyDescent="0.2">
      <c r="A27" s="164">
        <v>22</v>
      </c>
      <c r="B27" s="165" t="s">
        <v>70</v>
      </c>
      <c r="C27" s="120">
        <v>86905</v>
      </c>
      <c r="D27" s="120">
        <f>87473-21638</f>
        <v>65835</v>
      </c>
      <c r="E27" s="120">
        <v>15305</v>
      </c>
      <c r="F27" s="120">
        <v>11008</v>
      </c>
      <c r="G27" s="120">
        <v>521</v>
      </c>
      <c r="H27" s="120">
        <v>1081</v>
      </c>
      <c r="I27" s="120">
        <v>27074</v>
      </c>
      <c r="J27" s="120">
        <v>15675</v>
      </c>
      <c r="K27" s="120">
        <v>0</v>
      </c>
      <c r="L27" s="120">
        <v>0</v>
      </c>
      <c r="M27" s="197">
        <f t="shared" si="0"/>
        <v>129805</v>
      </c>
      <c r="N27" s="197">
        <f t="shared" si="1"/>
        <v>93599</v>
      </c>
      <c r="O27" s="254" t="e">
        <f t="shared" si="2"/>
        <v>#REF!</v>
      </c>
      <c r="P27" s="260" t="e">
        <f>'Pri Sec_outstanding_6'!#REF!</f>
        <v>#REF!</v>
      </c>
      <c r="Q27" s="260"/>
    </row>
    <row r="28" spans="1:17" ht="15" customHeight="1" x14ac:dyDescent="0.2">
      <c r="A28" s="164">
        <v>23</v>
      </c>
      <c r="B28" s="165" t="s">
        <v>65</v>
      </c>
      <c r="C28" s="120">
        <v>2943</v>
      </c>
      <c r="D28" s="120">
        <v>3414</v>
      </c>
      <c r="E28" s="120">
        <v>1217</v>
      </c>
      <c r="F28" s="120">
        <v>1665</v>
      </c>
      <c r="G28" s="120">
        <v>164</v>
      </c>
      <c r="H28" s="120">
        <v>336</v>
      </c>
      <c r="I28" s="120">
        <v>4188</v>
      </c>
      <c r="J28" s="120">
        <v>5366</v>
      </c>
      <c r="K28" s="120">
        <v>147</v>
      </c>
      <c r="L28" s="120">
        <v>112</v>
      </c>
      <c r="M28" s="197">
        <f t="shared" si="0"/>
        <v>8659</v>
      </c>
      <c r="N28" s="197">
        <f t="shared" si="1"/>
        <v>10893</v>
      </c>
      <c r="O28" s="253" t="e">
        <f t="shared" si="2"/>
        <v>#REF!</v>
      </c>
      <c r="P28" s="260" t="e">
        <f>'Pri Sec_outstanding_6'!#REF!</f>
        <v>#REF!</v>
      </c>
      <c r="Q28" s="260"/>
    </row>
    <row r="29" spans="1:17" ht="15" customHeight="1" x14ac:dyDescent="0.2">
      <c r="A29" s="164">
        <v>24</v>
      </c>
      <c r="B29" s="165" t="s">
        <v>213</v>
      </c>
      <c r="C29" s="120">
        <v>5881</v>
      </c>
      <c r="D29" s="120">
        <v>16555</v>
      </c>
      <c r="E29" s="120">
        <v>158</v>
      </c>
      <c r="F29" s="120">
        <v>1401</v>
      </c>
      <c r="G29" s="120">
        <v>453</v>
      </c>
      <c r="H29" s="120">
        <v>1082</v>
      </c>
      <c r="I29" s="120">
        <v>1101</v>
      </c>
      <c r="J29" s="120">
        <v>11756</v>
      </c>
      <c r="K29" s="120">
        <v>8597</v>
      </c>
      <c r="L29" s="120">
        <v>35467.730000000003</v>
      </c>
      <c r="M29" s="197">
        <f t="shared" si="0"/>
        <v>16190</v>
      </c>
      <c r="N29" s="197">
        <f t="shared" si="1"/>
        <v>66261.73000000001</v>
      </c>
      <c r="O29" s="253" t="e">
        <f t="shared" si="2"/>
        <v>#REF!</v>
      </c>
      <c r="P29" s="260" t="e">
        <f>'Pri Sec_outstanding_6'!#REF!</f>
        <v>#REF!</v>
      </c>
      <c r="Q29" s="260"/>
    </row>
    <row r="30" spans="1:17" ht="15" customHeight="1" x14ac:dyDescent="0.2">
      <c r="A30" s="164">
        <v>25</v>
      </c>
      <c r="B30" s="165" t="s">
        <v>66</v>
      </c>
      <c r="C30" s="120">
        <v>18163</v>
      </c>
      <c r="D30" s="120">
        <v>24464</v>
      </c>
      <c r="E30" s="120">
        <v>2798</v>
      </c>
      <c r="F30" s="120">
        <v>2463</v>
      </c>
      <c r="G30" s="120">
        <v>523</v>
      </c>
      <c r="H30" s="120">
        <v>858</v>
      </c>
      <c r="I30" s="120">
        <v>21868</v>
      </c>
      <c r="J30" s="120">
        <v>16757</v>
      </c>
      <c r="K30" s="120">
        <v>3960</v>
      </c>
      <c r="L30" s="120">
        <v>1721</v>
      </c>
      <c r="M30" s="197">
        <f t="shared" si="0"/>
        <v>47312</v>
      </c>
      <c r="N30" s="197">
        <f t="shared" si="1"/>
        <v>46263</v>
      </c>
      <c r="O30" s="253" t="e">
        <f t="shared" si="2"/>
        <v>#REF!</v>
      </c>
      <c r="P30" s="260" t="e">
        <f>'Pri Sec_outstanding_6'!#REF!</f>
        <v>#REF!</v>
      </c>
      <c r="Q30" s="260"/>
    </row>
    <row r="31" spans="1:17" ht="15" customHeight="1" x14ac:dyDescent="0.2">
      <c r="A31" s="164">
        <v>26</v>
      </c>
      <c r="B31" s="257" t="s">
        <v>67</v>
      </c>
      <c r="C31" s="120">
        <v>56</v>
      </c>
      <c r="D31" s="120">
        <v>128</v>
      </c>
      <c r="E31" s="120">
        <v>9</v>
      </c>
      <c r="F31" s="120">
        <v>102</v>
      </c>
      <c r="G31" s="120">
        <v>16</v>
      </c>
      <c r="H31" s="120">
        <v>33</v>
      </c>
      <c r="I31" s="120">
        <v>106</v>
      </c>
      <c r="J31" s="120">
        <v>494</v>
      </c>
      <c r="K31" s="120">
        <v>0</v>
      </c>
      <c r="L31" s="120">
        <v>0</v>
      </c>
      <c r="M31" s="197">
        <f t="shared" si="0"/>
        <v>187</v>
      </c>
      <c r="N31" s="197">
        <f t="shared" si="1"/>
        <v>757</v>
      </c>
      <c r="O31" s="253" t="e">
        <f t="shared" si="2"/>
        <v>#REF!</v>
      </c>
      <c r="P31" s="260" t="e">
        <f>'Pri Sec_outstanding_6'!#REF!</f>
        <v>#REF!</v>
      </c>
      <c r="Q31" s="260"/>
    </row>
    <row r="32" spans="1:17" ht="15" customHeight="1" x14ac:dyDescent="0.2">
      <c r="A32" s="164">
        <v>27</v>
      </c>
      <c r="B32" s="165" t="s">
        <v>50</v>
      </c>
      <c r="C32" s="120">
        <v>340</v>
      </c>
      <c r="D32" s="120">
        <v>658</v>
      </c>
      <c r="E32" s="120">
        <v>23</v>
      </c>
      <c r="F32" s="120">
        <v>138</v>
      </c>
      <c r="G32" s="120">
        <v>11</v>
      </c>
      <c r="H32" s="120">
        <v>21</v>
      </c>
      <c r="I32" s="120">
        <v>571</v>
      </c>
      <c r="J32" s="120">
        <v>567</v>
      </c>
      <c r="K32" s="120">
        <v>75</v>
      </c>
      <c r="L32" s="120">
        <v>173</v>
      </c>
      <c r="M32" s="197">
        <f t="shared" si="0"/>
        <v>1020</v>
      </c>
      <c r="N32" s="197">
        <f t="shared" si="1"/>
        <v>1557</v>
      </c>
      <c r="O32" s="253" t="e">
        <f t="shared" si="2"/>
        <v>#REF!</v>
      </c>
      <c r="P32" s="260" t="e">
        <f>'Pri Sec_outstanding_6'!#REF!</f>
        <v>#REF!</v>
      </c>
      <c r="Q32" s="260"/>
    </row>
    <row r="33" spans="1:17" s="263" customFormat="1" ht="15" customHeight="1" x14ac:dyDescent="0.2">
      <c r="A33" s="166"/>
      <c r="B33" s="167" t="s">
        <v>288</v>
      </c>
      <c r="C33" s="172">
        <f>SUM(C6:C32)</f>
        <v>195967</v>
      </c>
      <c r="D33" s="172">
        <f t="shared" ref="D33:N33" si="3">SUM(D6:D32)</f>
        <v>268560.53000000003</v>
      </c>
      <c r="E33" s="172">
        <f t="shared" si="3"/>
        <v>37052</v>
      </c>
      <c r="F33" s="172">
        <f t="shared" si="3"/>
        <v>40014.959999999999</v>
      </c>
      <c r="G33" s="172">
        <f t="shared" si="3"/>
        <v>7331</v>
      </c>
      <c r="H33" s="172">
        <f t="shared" si="3"/>
        <v>10935.880000000001</v>
      </c>
      <c r="I33" s="172">
        <f t="shared" si="3"/>
        <v>134792</v>
      </c>
      <c r="J33" s="172">
        <f t="shared" si="3"/>
        <v>250046.58</v>
      </c>
      <c r="K33" s="172">
        <f t="shared" si="3"/>
        <v>19977</v>
      </c>
      <c r="L33" s="172">
        <f t="shared" si="3"/>
        <v>52607.520000000004</v>
      </c>
      <c r="M33" s="172">
        <f t="shared" si="3"/>
        <v>395119</v>
      </c>
      <c r="N33" s="172">
        <f t="shared" si="3"/>
        <v>622165.47</v>
      </c>
      <c r="O33" s="254" t="e">
        <f t="shared" si="2"/>
        <v>#REF!</v>
      </c>
      <c r="P33" s="262" t="e">
        <f>'Pri Sec_outstanding_6'!#REF!</f>
        <v>#REF!</v>
      </c>
      <c r="Q33" s="262"/>
    </row>
    <row r="34" spans="1:17" ht="15" customHeight="1" x14ac:dyDescent="0.2">
      <c r="A34" s="164">
        <v>28</v>
      </c>
      <c r="B34" s="165" t="s">
        <v>47</v>
      </c>
      <c r="C34" s="120">
        <v>1188</v>
      </c>
      <c r="D34" s="120">
        <v>700.14</v>
      </c>
      <c r="E34" s="120">
        <v>77</v>
      </c>
      <c r="F34" s="120">
        <v>849.92</v>
      </c>
      <c r="G34" s="120">
        <v>6</v>
      </c>
      <c r="H34" s="120">
        <v>16.649999999999999</v>
      </c>
      <c r="I34" s="120">
        <v>77</v>
      </c>
      <c r="J34" s="120">
        <v>2119.9299999999998</v>
      </c>
      <c r="K34" s="120">
        <v>774</v>
      </c>
      <c r="L34" s="120">
        <v>111.41</v>
      </c>
      <c r="M34" s="197">
        <f t="shared" si="0"/>
        <v>2122</v>
      </c>
      <c r="N34" s="197">
        <f t="shared" si="1"/>
        <v>3798.0499999999997</v>
      </c>
      <c r="O34" s="254" t="e">
        <f t="shared" si="2"/>
        <v>#REF!</v>
      </c>
      <c r="P34" s="260" t="e">
        <f>'Pri Sec_outstanding_6'!#REF!</f>
        <v>#REF!</v>
      </c>
      <c r="Q34" s="260"/>
    </row>
    <row r="35" spans="1:17" ht="15" customHeight="1" x14ac:dyDescent="0.2">
      <c r="A35" s="164">
        <v>29</v>
      </c>
      <c r="B35" s="165" t="s">
        <v>215</v>
      </c>
      <c r="C35" s="120">
        <v>0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97">
        <f t="shared" si="0"/>
        <v>0</v>
      </c>
      <c r="N35" s="197">
        <f t="shared" si="1"/>
        <v>0</v>
      </c>
      <c r="O35" s="253" t="e">
        <f t="shared" si="2"/>
        <v>#REF!</v>
      </c>
      <c r="P35" s="260" t="e">
        <f>'Pri Sec_outstanding_6'!#REF!</f>
        <v>#REF!</v>
      </c>
      <c r="Q35" s="260"/>
    </row>
    <row r="36" spans="1:17" ht="15" customHeight="1" x14ac:dyDescent="0.2">
      <c r="A36" s="164">
        <v>30</v>
      </c>
      <c r="B36" s="165" t="s">
        <v>216</v>
      </c>
      <c r="C36" s="120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97">
        <f t="shared" si="0"/>
        <v>0</v>
      </c>
      <c r="N36" s="197">
        <f t="shared" si="1"/>
        <v>0</v>
      </c>
      <c r="O36" s="253" t="e">
        <f t="shared" si="2"/>
        <v>#REF!</v>
      </c>
      <c r="P36" s="260" t="e">
        <f>'Pri Sec_outstanding_6'!#REF!</f>
        <v>#REF!</v>
      </c>
      <c r="Q36" s="260"/>
    </row>
    <row r="37" spans="1:17" ht="15" customHeight="1" x14ac:dyDescent="0.2">
      <c r="A37" s="164">
        <v>31</v>
      </c>
      <c r="B37" s="165" t="s">
        <v>78</v>
      </c>
      <c r="C37" s="120">
        <v>0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97">
        <f t="shared" si="0"/>
        <v>0</v>
      </c>
      <c r="N37" s="197">
        <f t="shared" si="1"/>
        <v>0</v>
      </c>
      <c r="O37" s="253" t="e">
        <f t="shared" si="2"/>
        <v>#REF!</v>
      </c>
      <c r="P37" s="260" t="e">
        <f>'Pri Sec_outstanding_6'!#REF!</f>
        <v>#REF!</v>
      </c>
      <c r="Q37" s="260"/>
    </row>
    <row r="38" spans="1:17" ht="15" customHeight="1" x14ac:dyDescent="0.2">
      <c r="A38" s="164">
        <v>32</v>
      </c>
      <c r="B38" s="165" t="s">
        <v>51</v>
      </c>
      <c r="C38" s="120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5</v>
      </c>
      <c r="J38" s="120">
        <v>162.91</v>
      </c>
      <c r="K38" s="120">
        <v>0</v>
      </c>
      <c r="L38" s="120">
        <v>0</v>
      </c>
      <c r="M38" s="197">
        <f t="shared" si="0"/>
        <v>5</v>
      </c>
      <c r="N38" s="197">
        <f t="shared" si="1"/>
        <v>162.91</v>
      </c>
      <c r="O38" s="253" t="e">
        <f t="shared" si="2"/>
        <v>#REF!</v>
      </c>
      <c r="P38" s="260" t="e">
        <f>'Pri Sec_outstanding_6'!#REF!</f>
        <v>#REF!</v>
      </c>
      <c r="Q38" s="260"/>
    </row>
    <row r="39" spans="1:17" ht="15" customHeight="1" x14ac:dyDescent="0.2">
      <c r="A39" s="164">
        <v>33</v>
      </c>
      <c r="B39" s="165" t="s">
        <v>217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97">
        <f t="shared" si="0"/>
        <v>0</v>
      </c>
      <c r="N39" s="197">
        <f t="shared" si="1"/>
        <v>0</v>
      </c>
      <c r="O39" s="253" t="e">
        <f t="shared" si="2"/>
        <v>#REF!</v>
      </c>
      <c r="P39" s="260" t="e">
        <f>'Pri Sec_outstanding_6'!#REF!</f>
        <v>#REF!</v>
      </c>
      <c r="Q39" s="260"/>
    </row>
    <row r="40" spans="1:17" ht="15" customHeight="1" x14ac:dyDescent="0.2">
      <c r="A40" s="164">
        <v>34</v>
      </c>
      <c r="B40" s="165" t="s">
        <v>218</v>
      </c>
      <c r="C40" s="120">
        <v>0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97">
        <f t="shared" si="0"/>
        <v>0</v>
      </c>
      <c r="N40" s="197">
        <f t="shared" si="1"/>
        <v>0</v>
      </c>
      <c r="O40" s="253" t="e">
        <f t="shared" si="2"/>
        <v>#REF!</v>
      </c>
      <c r="P40" s="260" t="e">
        <f>'Pri Sec_outstanding_6'!#REF!</f>
        <v>#REF!</v>
      </c>
      <c r="Q40" s="260"/>
    </row>
    <row r="41" spans="1:17" ht="15" customHeight="1" x14ac:dyDescent="0.2">
      <c r="A41" s="164">
        <v>35</v>
      </c>
      <c r="B41" s="165" t="s">
        <v>219</v>
      </c>
      <c r="C41" s="120">
        <v>3</v>
      </c>
      <c r="D41" s="120">
        <v>0.63</v>
      </c>
      <c r="E41" s="120">
        <v>0</v>
      </c>
      <c r="F41" s="120">
        <v>0</v>
      </c>
      <c r="G41" s="120">
        <v>0</v>
      </c>
      <c r="H41" s="120">
        <v>0</v>
      </c>
      <c r="I41" s="120">
        <v>17</v>
      </c>
      <c r="J41" s="120">
        <v>44.86</v>
      </c>
      <c r="K41" s="120">
        <v>0</v>
      </c>
      <c r="L41" s="120">
        <v>0</v>
      </c>
      <c r="M41" s="197">
        <f t="shared" si="0"/>
        <v>20</v>
      </c>
      <c r="N41" s="197">
        <f t="shared" si="1"/>
        <v>45.49</v>
      </c>
      <c r="O41" s="253" t="e">
        <f t="shared" si="2"/>
        <v>#REF!</v>
      </c>
      <c r="P41" s="260" t="e">
        <f>'Pri Sec_outstanding_6'!#REF!</f>
        <v>#REF!</v>
      </c>
      <c r="Q41" s="260"/>
    </row>
    <row r="42" spans="1:17" ht="15" customHeight="1" x14ac:dyDescent="0.2">
      <c r="A42" s="164">
        <v>36</v>
      </c>
      <c r="B42" s="165" t="s">
        <v>71</v>
      </c>
      <c r="C42" s="120">
        <v>4143</v>
      </c>
      <c r="D42" s="120">
        <v>8215</v>
      </c>
      <c r="E42" s="120">
        <v>13</v>
      </c>
      <c r="F42" s="120">
        <v>33</v>
      </c>
      <c r="G42" s="120">
        <v>20</v>
      </c>
      <c r="H42" s="120">
        <v>30</v>
      </c>
      <c r="I42" s="120">
        <v>1590</v>
      </c>
      <c r="J42" s="120">
        <v>4835</v>
      </c>
      <c r="K42" s="120">
        <v>46</v>
      </c>
      <c r="L42" s="120">
        <v>119</v>
      </c>
      <c r="M42" s="197">
        <f t="shared" si="0"/>
        <v>5812</v>
      </c>
      <c r="N42" s="197">
        <f t="shared" si="1"/>
        <v>13232</v>
      </c>
      <c r="O42" s="253" t="e">
        <f t="shared" si="2"/>
        <v>#REF!</v>
      </c>
      <c r="P42" s="260" t="e">
        <f>'Pri Sec_outstanding_6'!#REF!</f>
        <v>#REF!</v>
      </c>
      <c r="Q42" s="260"/>
    </row>
    <row r="43" spans="1:17" ht="15" customHeight="1" x14ac:dyDescent="0.2">
      <c r="A43" s="164">
        <v>37</v>
      </c>
      <c r="B43" s="165" t="s">
        <v>72</v>
      </c>
      <c r="C43" s="120">
        <v>3978</v>
      </c>
      <c r="D43" s="120">
        <v>6349</v>
      </c>
      <c r="E43" s="120">
        <v>268</v>
      </c>
      <c r="F43" s="120">
        <v>682</v>
      </c>
      <c r="G43" s="120">
        <v>2</v>
      </c>
      <c r="H43" s="120">
        <v>4</v>
      </c>
      <c r="I43" s="120">
        <v>1089</v>
      </c>
      <c r="J43" s="120">
        <v>3114</v>
      </c>
      <c r="K43" s="120">
        <v>110</v>
      </c>
      <c r="L43" s="120">
        <v>38</v>
      </c>
      <c r="M43" s="197">
        <f t="shared" si="0"/>
        <v>5447</v>
      </c>
      <c r="N43" s="197">
        <f t="shared" si="1"/>
        <v>10187</v>
      </c>
      <c r="O43" s="253" t="e">
        <f t="shared" si="2"/>
        <v>#REF!</v>
      </c>
      <c r="P43" s="260" t="e">
        <f>'Pri Sec_outstanding_6'!#REF!</f>
        <v>#REF!</v>
      </c>
      <c r="Q43" s="260"/>
    </row>
    <row r="44" spans="1:17" ht="15" customHeight="1" x14ac:dyDescent="0.2">
      <c r="A44" s="164">
        <v>38</v>
      </c>
      <c r="B44" s="165" t="s">
        <v>220</v>
      </c>
      <c r="C44" s="120">
        <v>60</v>
      </c>
      <c r="D44" s="120">
        <v>7</v>
      </c>
      <c r="E44" s="120">
        <v>0</v>
      </c>
      <c r="F44" s="120">
        <v>0</v>
      </c>
      <c r="G44" s="120">
        <v>0</v>
      </c>
      <c r="H44" s="120">
        <v>0</v>
      </c>
      <c r="I44" s="120">
        <v>80</v>
      </c>
      <c r="J44" s="120">
        <v>9</v>
      </c>
      <c r="K44" s="120">
        <v>1</v>
      </c>
      <c r="L44" s="120">
        <v>0.11</v>
      </c>
      <c r="M44" s="197">
        <f t="shared" si="0"/>
        <v>141</v>
      </c>
      <c r="N44" s="197">
        <f t="shared" si="1"/>
        <v>16.11</v>
      </c>
      <c r="O44" s="253" t="e">
        <f t="shared" si="2"/>
        <v>#REF!</v>
      </c>
      <c r="P44" s="260" t="e">
        <f>'Pri Sec_outstanding_6'!#REF!</f>
        <v>#REF!</v>
      </c>
      <c r="Q44" s="260"/>
    </row>
    <row r="45" spans="1:17" ht="15" customHeight="1" x14ac:dyDescent="0.2">
      <c r="A45" s="164">
        <v>39</v>
      </c>
      <c r="B45" s="165" t="s">
        <v>221</v>
      </c>
      <c r="C45" s="120">
        <v>1991</v>
      </c>
      <c r="D45" s="120">
        <v>533</v>
      </c>
      <c r="E45" s="120">
        <v>0</v>
      </c>
      <c r="F45" s="120">
        <v>0</v>
      </c>
      <c r="G45" s="120">
        <v>0</v>
      </c>
      <c r="H45" s="120">
        <v>0</v>
      </c>
      <c r="I45" s="120">
        <v>2046</v>
      </c>
      <c r="J45" s="120">
        <v>1005</v>
      </c>
      <c r="K45" s="120">
        <v>0</v>
      </c>
      <c r="L45" s="120">
        <v>0</v>
      </c>
      <c r="M45" s="197">
        <f t="shared" si="0"/>
        <v>4037</v>
      </c>
      <c r="N45" s="197">
        <f t="shared" si="1"/>
        <v>1538</v>
      </c>
      <c r="O45" s="253" t="e">
        <f t="shared" si="2"/>
        <v>#REF!</v>
      </c>
      <c r="P45" s="260" t="e">
        <f>'Pri Sec_outstanding_6'!#REF!</f>
        <v>#REF!</v>
      </c>
      <c r="Q45" s="260"/>
    </row>
    <row r="46" spans="1:17" ht="15" customHeight="1" x14ac:dyDescent="0.2">
      <c r="A46" s="164">
        <v>40</v>
      </c>
      <c r="B46" s="165" t="s">
        <v>222</v>
      </c>
      <c r="C46" s="120">
        <v>0</v>
      </c>
      <c r="D46" s="120">
        <v>0</v>
      </c>
      <c r="E46" s="120">
        <v>4</v>
      </c>
      <c r="F46" s="120">
        <v>6</v>
      </c>
      <c r="G46" s="120">
        <v>0</v>
      </c>
      <c r="H46" s="120">
        <v>0</v>
      </c>
      <c r="I46" s="120">
        <v>3</v>
      </c>
      <c r="J46" s="120">
        <v>122</v>
      </c>
      <c r="K46" s="120">
        <v>19</v>
      </c>
      <c r="L46" s="120">
        <f>25+76</f>
        <v>101</v>
      </c>
      <c r="M46" s="197">
        <f t="shared" si="0"/>
        <v>26</v>
      </c>
      <c r="N46" s="197">
        <f t="shared" si="1"/>
        <v>229</v>
      </c>
      <c r="O46" s="253" t="e">
        <f t="shared" si="2"/>
        <v>#REF!</v>
      </c>
      <c r="P46" s="260" t="e">
        <f>'Pri Sec_outstanding_6'!#REF!</f>
        <v>#REF!</v>
      </c>
      <c r="Q46" s="260"/>
    </row>
    <row r="47" spans="1:17" ht="15" customHeight="1" x14ac:dyDescent="0.2">
      <c r="A47" s="164">
        <v>41</v>
      </c>
      <c r="B47" s="165" t="s">
        <v>223</v>
      </c>
      <c r="C47" s="120">
        <v>0</v>
      </c>
      <c r="D47" s="120">
        <v>0</v>
      </c>
      <c r="E47" s="120">
        <v>1</v>
      </c>
      <c r="F47" s="120">
        <v>22</v>
      </c>
      <c r="G47" s="120">
        <v>0</v>
      </c>
      <c r="H47" s="120">
        <v>0</v>
      </c>
      <c r="I47" s="120">
        <v>13</v>
      </c>
      <c r="J47" s="120">
        <v>543</v>
      </c>
      <c r="K47" s="120">
        <v>3</v>
      </c>
      <c r="L47" s="120">
        <v>1</v>
      </c>
      <c r="M47" s="197">
        <f t="shared" si="0"/>
        <v>17</v>
      </c>
      <c r="N47" s="197">
        <f t="shared" si="1"/>
        <v>566</v>
      </c>
      <c r="O47" s="253" t="e">
        <f t="shared" si="2"/>
        <v>#REF!</v>
      </c>
      <c r="P47" s="260" t="e">
        <f>'Pri Sec_outstanding_6'!#REF!</f>
        <v>#REF!</v>
      </c>
      <c r="Q47" s="260"/>
    </row>
    <row r="48" spans="1:17" ht="15" customHeight="1" x14ac:dyDescent="0.2">
      <c r="A48" s="164">
        <v>42</v>
      </c>
      <c r="B48" s="165" t="s">
        <v>224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97">
        <f t="shared" si="0"/>
        <v>0</v>
      </c>
      <c r="N48" s="197">
        <f t="shared" si="1"/>
        <v>0</v>
      </c>
      <c r="O48" s="253" t="e">
        <f t="shared" si="2"/>
        <v>#REF!</v>
      </c>
      <c r="P48" s="260" t="e">
        <f>'Pri Sec_outstanding_6'!#REF!</f>
        <v>#REF!</v>
      </c>
      <c r="Q48" s="260"/>
    </row>
    <row r="49" spans="1:17" ht="15" customHeight="1" x14ac:dyDescent="0.2">
      <c r="A49" s="164">
        <v>43</v>
      </c>
      <c r="B49" s="165" t="s">
        <v>73</v>
      </c>
      <c r="C49" s="120">
        <v>1371</v>
      </c>
      <c r="D49" s="120">
        <v>3143</v>
      </c>
      <c r="E49" s="120">
        <v>14</v>
      </c>
      <c r="F49" s="120">
        <v>33</v>
      </c>
      <c r="G49" s="120">
        <v>0</v>
      </c>
      <c r="H49" s="120">
        <v>0</v>
      </c>
      <c r="I49" s="120">
        <v>50</v>
      </c>
      <c r="J49" s="120">
        <v>1198</v>
      </c>
      <c r="K49" s="120">
        <v>2</v>
      </c>
      <c r="L49" s="120">
        <v>3</v>
      </c>
      <c r="M49" s="197">
        <f t="shared" si="0"/>
        <v>1437</v>
      </c>
      <c r="N49" s="197">
        <f t="shared" si="1"/>
        <v>4377</v>
      </c>
      <c r="O49" s="253" t="e">
        <f t="shared" si="2"/>
        <v>#REF!</v>
      </c>
      <c r="P49" s="260" t="e">
        <f>'Pri Sec_outstanding_6'!#REF!</f>
        <v>#REF!</v>
      </c>
      <c r="Q49" s="260"/>
    </row>
    <row r="50" spans="1:17" ht="15" customHeight="1" x14ac:dyDescent="0.2">
      <c r="A50" s="164">
        <v>44</v>
      </c>
      <c r="B50" s="165" t="s">
        <v>225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7</v>
      </c>
      <c r="L50" s="120">
        <v>25</v>
      </c>
      <c r="M50" s="197">
        <f t="shared" si="0"/>
        <v>7</v>
      </c>
      <c r="N50" s="197">
        <f t="shared" si="1"/>
        <v>25</v>
      </c>
      <c r="O50" s="253" t="e">
        <f t="shared" si="2"/>
        <v>#REF!</v>
      </c>
      <c r="P50" s="260" t="e">
        <f>'Pri Sec_outstanding_6'!#REF!</f>
        <v>#REF!</v>
      </c>
      <c r="Q50" s="260"/>
    </row>
    <row r="51" spans="1:17" ht="15" customHeight="1" x14ac:dyDescent="0.2">
      <c r="A51" s="164">
        <v>45</v>
      </c>
      <c r="B51" s="165" t="s">
        <v>226</v>
      </c>
      <c r="C51" s="120">
        <v>137</v>
      </c>
      <c r="D51" s="120">
        <v>32</v>
      </c>
      <c r="E51" s="120">
        <v>2</v>
      </c>
      <c r="F51" s="120">
        <v>0.1</v>
      </c>
      <c r="G51" s="120">
        <v>10</v>
      </c>
      <c r="H51" s="120">
        <v>0.3</v>
      </c>
      <c r="I51" s="120">
        <v>630</v>
      </c>
      <c r="J51" s="120">
        <v>74</v>
      </c>
      <c r="K51" s="120">
        <v>497</v>
      </c>
      <c r="L51" s="120">
        <v>31</v>
      </c>
      <c r="M51" s="197">
        <f t="shared" si="0"/>
        <v>1276</v>
      </c>
      <c r="N51" s="197">
        <f t="shared" si="1"/>
        <v>137.4</v>
      </c>
      <c r="O51" s="253" t="e">
        <f t="shared" si="2"/>
        <v>#REF!</v>
      </c>
      <c r="P51" s="260" t="e">
        <f>'Pri Sec_outstanding_6'!#REF!</f>
        <v>#REF!</v>
      </c>
      <c r="Q51" s="260"/>
    </row>
    <row r="52" spans="1:17" ht="15" customHeight="1" x14ac:dyDescent="0.2">
      <c r="A52" s="164">
        <v>46</v>
      </c>
      <c r="B52" s="165" t="s">
        <v>227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0</v>
      </c>
      <c r="M52" s="197">
        <f t="shared" si="0"/>
        <v>0</v>
      </c>
      <c r="N52" s="197">
        <f t="shared" si="1"/>
        <v>0</v>
      </c>
      <c r="O52" s="254" t="e">
        <f t="shared" si="2"/>
        <v>#REF!</v>
      </c>
      <c r="P52" s="260" t="e">
        <f>'Pri Sec_outstanding_6'!#REF!</f>
        <v>#REF!</v>
      </c>
      <c r="Q52" s="260"/>
    </row>
    <row r="53" spans="1:17" ht="15" customHeight="1" x14ac:dyDescent="0.2">
      <c r="A53" s="164">
        <v>47</v>
      </c>
      <c r="B53" s="165" t="s">
        <v>77</v>
      </c>
      <c r="C53" s="120">
        <v>0</v>
      </c>
      <c r="D53" s="120">
        <v>0</v>
      </c>
      <c r="E53" s="120">
        <v>0</v>
      </c>
      <c r="F53" s="120">
        <v>0</v>
      </c>
      <c r="G53" s="120">
        <v>0</v>
      </c>
      <c r="H53" s="120">
        <v>0</v>
      </c>
      <c r="I53" s="120">
        <v>0</v>
      </c>
      <c r="J53" s="120">
        <v>0</v>
      </c>
      <c r="K53" s="120">
        <v>0</v>
      </c>
      <c r="L53" s="120">
        <v>0</v>
      </c>
      <c r="M53" s="197">
        <f t="shared" si="0"/>
        <v>0</v>
      </c>
      <c r="N53" s="197">
        <f t="shared" si="1"/>
        <v>0</v>
      </c>
      <c r="O53" s="253" t="e">
        <f t="shared" si="2"/>
        <v>#REF!</v>
      </c>
      <c r="P53" s="260" t="e">
        <f>'Pri Sec_outstanding_6'!#REF!</f>
        <v>#REF!</v>
      </c>
      <c r="Q53" s="260"/>
    </row>
    <row r="54" spans="1:17" ht="15" customHeight="1" x14ac:dyDescent="0.2">
      <c r="A54" s="164">
        <v>48</v>
      </c>
      <c r="B54" s="165" t="s">
        <v>228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97">
        <f t="shared" si="0"/>
        <v>0</v>
      </c>
      <c r="N54" s="197">
        <f t="shared" si="1"/>
        <v>0</v>
      </c>
      <c r="O54" s="253" t="e">
        <f t="shared" si="2"/>
        <v>#REF!</v>
      </c>
      <c r="P54" s="260" t="e">
        <f>'Pri Sec_outstanding_6'!#REF!</f>
        <v>#REF!</v>
      </c>
      <c r="Q54" s="260"/>
    </row>
    <row r="55" spans="1:17" ht="15" customHeight="1" x14ac:dyDescent="0.2">
      <c r="A55" s="164">
        <v>49</v>
      </c>
      <c r="B55" s="165" t="s">
        <v>76</v>
      </c>
      <c r="C55" s="120">
        <v>2</v>
      </c>
      <c r="D55" s="120">
        <v>82</v>
      </c>
      <c r="E55" s="120">
        <v>0</v>
      </c>
      <c r="F55" s="120">
        <v>0</v>
      </c>
      <c r="G55" s="120">
        <v>0</v>
      </c>
      <c r="H55" s="120">
        <v>0</v>
      </c>
      <c r="I55" s="120">
        <v>6</v>
      </c>
      <c r="J55" s="120">
        <v>656</v>
      </c>
      <c r="K55" s="120">
        <v>0</v>
      </c>
      <c r="L55" s="120">
        <v>0</v>
      </c>
      <c r="M55" s="197">
        <f t="shared" si="0"/>
        <v>8</v>
      </c>
      <c r="N55" s="197">
        <f t="shared" si="1"/>
        <v>738</v>
      </c>
      <c r="O55" s="253" t="e">
        <f t="shared" si="2"/>
        <v>#REF!</v>
      </c>
      <c r="P55" s="260" t="e">
        <f>'Pri Sec_outstanding_6'!#REF!</f>
        <v>#REF!</v>
      </c>
      <c r="Q55" s="260"/>
    </row>
    <row r="56" spans="1:17" s="263" customFormat="1" ht="15" customHeight="1" x14ac:dyDescent="0.2">
      <c r="A56" s="166"/>
      <c r="B56" s="167" t="s">
        <v>289</v>
      </c>
      <c r="C56" s="172">
        <f>SUM(C34:C55)</f>
        <v>12873</v>
      </c>
      <c r="D56" s="172">
        <f t="shared" ref="D56:P56" si="4">SUM(D34:D55)</f>
        <v>19061.77</v>
      </c>
      <c r="E56" s="172">
        <f t="shared" si="4"/>
        <v>379</v>
      </c>
      <c r="F56" s="172">
        <f t="shared" si="4"/>
        <v>1626.02</v>
      </c>
      <c r="G56" s="172">
        <f t="shared" si="4"/>
        <v>38</v>
      </c>
      <c r="H56" s="172">
        <f t="shared" si="4"/>
        <v>50.949999999999996</v>
      </c>
      <c r="I56" s="172">
        <f t="shared" si="4"/>
        <v>5606</v>
      </c>
      <c r="J56" s="172">
        <f t="shared" si="4"/>
        <v>13883.7</v>
      </c>
      <c r="K56" s="172">
        <f t="shared" si="4"/>
        <v>1459</v>
      </c>
      <c r="L56" s="172">
        <f t="shared" si="4"/>
        <v>429.52</v>
      </c>
      <c r="M56" s="172">
        <f t="shared" si="4"/>
        <v>20355</v>
      </c>
      <c r="N56" s="172">
        <f t="shared" si="4"/>
        <v>35051.96</v>
      </c>
      <c r="O56" s="172" t="e">
        <f t="shared" si="4"/>
        <v>#REF!</v>
      </c>
      <c r="P56" s="172" t="e">
        <f t="shared" si="4"/>
        <v>#REF!</v>
      </c>
      <c r="Q56" s="262"/>
    </row>
    <row r="57" spans="1:17" ht="15" customHeight="1" x14ac:dyDescent="0.2">
      <c r="A57" s="164">
        <v>50</v>
      </c>
      <c r="B57" s="165" t="s">
        <v>46</v>
      </c>
      <c r="C57" s="120">
        <v>35115</v>
      </c>
      <c r="D57" s="120">
        <v>30208.81</v>
      </c>
      <c r="E57" s="120">
        <v>12347</v>
      </c>
      <c r="F57" s="120">
        <v>6069.14</v>
      </c>
      <c r="G57" s="120">
        <v>104</v>
      </c>
      <c r="H57" s="120">
        <v>231.31</v>
      </c>
      <c r="I57" s="120">
        <v>17146</v>
      </c>
      <c r="J57" s="120">
        <v>3693.56</v>
      </c>
      <c r="K57" s="120">
        <v>17966</v>
      </c>
      <c r="L57" s="120">
        <v>4464.08</v>
      </c>
      <c r="M57" s="197">
        <f t="shared" si="0"/>
        <v>82678</v>
      </c>
      <c r="N57" s="197">
        <f t="shared" si="1"/>
        <v>44666.9</v>
      </c>
      <c r="O57" s="253" t="e">
        <f t="shared" si="2"/>
        <v>#REF!</v>
      </c>
      <c r="P57" s="260" t="e">
        <f>'Pri Sec_outstanding_6'!#REF!</f>
        <v>#REF!</v>
      </c>
      <c r="Q57" s="260"/>
    </row>
    <row r="58" spans="1:17" ht="15" customHeight="1" x14ac:dyDescent="0.2">
      <c r="A58" s="164">
        <v>51</v>
      </c>
      <c r="B58" s="165" t="s">
        <v>229</v>
      </c>
      <c r="C58" s="120">
        <v>42522</v>
      </c>
      <c r="D58" s="120">
        <v>33575</v>
      </c>
      <c r="E58" s="120">
        <v>10657</v>
      </c>
      <c r="F58" s="120">
        <v>7600</v>
      </c>
      <c r="G58" s="120">
        <v>102</v>
      </c>
      <c r="H58" s="120">
        <v>181</v>
      </c>
      <c r="I58" s="120">
        <v>16195</v>
      </c>
      <c r="J58" s="120">
        <v>5901</v>
      </c>
      <c r="K58" s="120">
        <v>4364</v>
      </c>
      <c r="L58" s="120">
        <v>3623</v>
      </c>
      <c r="M58" s="197">
        <f t="shared" si="0"/>
        <v>73840</v>
      </c>
      <c r="N58" s="197">
        <f t="shared" si="1"/>
        <v>50880</v>
      </c>
      <c r="O58" s="254" t="e">
        <f t="shared" si="2"/>
        <v>#REF!</v>
      </c>
      <c r="P58" s="260" t="e">
        <f>'Pri Sec_outstanding_6'!#REF!</f>
        <v>#REF!</v>
      </c>
      <c r="Q58" s="260"/>
    </row>
    <row r="59" spans="1:17" ht="15" customHeight="1" x14ac:dyDescent="0.2">
      <c r="A59" s="164">
        <v>52</v>
      </c>
      <c r="B59" s="165" t="s">
        <v>52</v>
      </c>
      <c r="C59" s="120">
        <v>13338</v>
      </c>
      <c r="D59" s="120">
        <v>11659.05</v>
      </c>
      <c r="E59" s="120">
        <v>1700</v>
      </c>
      <c r="F59" s="120">
        <v>1276.55</v>
      </c>
      <c r="G59" s="120">
        <v>11</v>
      </c>
      <c r="H59" s="120">
        <v>20.97</v>
      </c>
      <c r="I59" s="120">
        <v>3730</v>
      </c>
      <c r="J59" s="120">
        <v>1287.0899999999999</v>
      </c>
      <c r="K59" s="120">
        <v>0</v>
      </c>
      <c r="L59" s="120">
        <v>0</v>
      </c>
      <c r="M59" s="197">
        <f t="shared" si="0"/>
        <v>18779</v>
      </c>
      <c r="N59" s="197">
        <f t="shared" si="1"/>
        <v>14243.659999999998</v>
      </c>
      <c r="O59" s="255" t="e">
        <f t="shared" si="2"/>
        <v>#REF!</v>
      </c>
      <c r="P59" s="260" t="e">
        <f>'Pri Sec_outstanding_6'!#REF!</f>
        <v>#REF!</v>
      </c>
      <c r="Q59" s="260"/>
    </row>
    <row r="60" spans="1:17" s="263" customFormat="1" ht="15" customHeight="1" x14ac:dyDescent="0.2">
      <c r="A60" s="166"/>
      <c r="B60" s="172" t="s">
        <v>298</v>
      </c>
      <c r="C60" s="172">
        <f>SUM(C57:C59)</f>
        <v>90975</v>
      </c>
      <c r="D60" s="172">
        <f t="shared" ref="D60:N60" si="5">SUM(D57:D59)</f>
        <v>75442.86</v>
      </c>
      <c r="E60" s="172">
        <f t="shared" si="5"/>
        <v>24704</v>
      </c>
      <c r="F60" s="172">
        <f t="shared" si="5"/>
        <v>14945.689999999999</v>
      </c>
      <c r="G60" s="172">
        <f t="shared" si="5"/>
        <v>217</v>
      </c>
      <c r="H60" s="172">
        <f t="shared" si="5"/>
        <v>433.28</v>
      </c>
      <c r="I60" s="172">
        <f t="shared" si="5"/>
        <v>37071</v>
      </c>
      <c r="J60" s="172">
        <f t="shared" si="5"/>
        <v>10881.65</v>
      </c>
      <c r="K60" s="172">
        <f t="shared" si="5"/>
        <v>22330</v>
      </c>
      <c r="L60" s="172">
        <f t="shared" si="5"/>
        <v>8087.08</v>
      </c>
      <c r="M60" s="172">
        <f t="shared" si="5"/>
        <v>175297</v>
      </c>
      <c r="N60" s="172">
        <f t="shared" si="5"/>
        <v>109790.56</v>
      </c>
      <c r="O60" s="264"/>
      <c r="P60" s="262"/>
      <c r="Q60" s="262"/>
    </row>
    <row r="61" spans="1:17" ht="15" customHeight="1" x14ac:dyDescent="0.2">
      <c r="A61" s="164">
        <v>53</v>
      </c>
      <c r="B61" s="120" t="s">
        <v>290</v>
      </c>
      <c r="C61" s="120">
        <v>0</v>
      </c>
      <c r="D61" s="120">
        <v>270486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0</v>
      </c>
      <c r="L61" s="120">
        <v>0</v>
      </c>
      <c r="M61" s="197">
        <f t="shared" si="0"/>
        <v>0</v>
      </c>
      <c r="N61" s="197">
        <f t="shared" si="1"/>
        <v>270486</v>
      </c>
      <c r="O61" s="261"/>
      <c r="P61" s="260"/>
      <c r="Q61" s="260"/>
    </row>
    <row r="62" spans="1:17" s="263" customFormat="1" ht="15" customHeight="1" x14ac:dyDescent="0.2">
      <c r="A62" s="166"/>
      <c r="B62" s="172" t="s">
        <v>291</v>
      </c>
      <c r="C62" s="172">
        <f>C61</f>
        <v>0</v>
      </c>
      <c r="D62" s="172">
        <f t="shared" ref="D62:N62" si="6">D61</f>
        <v>270486</v>
      </c>
      <c r="E62" s="172">
        <f t="shared" si="6"/>
        <v>0</v>
      </c>
      <c r="F62" s="172">
        <f t="shared" si="6"/>
        <v>0</v>
      </c>
      <c r="G62" s="172">
        <f t="shared" si="6"/>
        <v>0</v>
      </c>
      <c r="H62" s="172">
        <f t="shared" si="6"/>
        <v>0</v>
      </c>
      <c r="I62" s="172">
        <f t="shared" si="6"/>
        <v>0</v>
      </c>
      <c r="J62" s="172">
        <f t="shared" si="6"/>
        <v>0</v>
      </c>
      <c r="K62" s="172">
        <f t="shared" si="6"/>
        <v>0</v>
      </c>
      <c r="L62" s="172">
        <f t="shared" si="6"/>
        <v>0</v>
      </c>
      <c r="M62" s="172">
        <f t="shared" si="6"/>
        <v>0</v>
      </c>
      <c r="N62" s="172">
        <f t="shared" si="6"/>
        <v>270486</v>
      </c>
      <c r="O62" s="264"/>
      <c r="P62" s="262"/>
      <c r="Q62" s="262"/>
    </row>
    <row r="63" spans="1:17" s="263" customFormat="1" ht="15" customHeight="1" x14ac:dyDescent="0.2">
      <c r="A63" s="166"/>
      <c r="B63" s="172" t="s">
        <v>292</v>
      </c>
      <c r="C63" s="172">
        <f>C62+C60+C56+C33</f>
        <v>299815</v>
      </c>
      <c r="D63" s="172">
        <f t="shared" ref="D63:N63" si="7">D62+D60+D56+D33</f>
        <v>633551.16</v>
      </c>
      <c r="E63" s="172">
        <f t="shared" si="7"/>
        <v>62135</v>
      </c>
      <c r="F63" s="172">
        <f t="shared" si="7"/>
        <v>56586.67</v>
      </c>
      <c r="G63" s="172">
        <f t="shared" si="7"/>
        <v>7586</v>
      </c>
      <c r="H63" s="172">
        <f t="shared" si="7"/>
        <v>11420.11</v>
      </c>
      <c r="I63" s="172">
        <f t="shared" si="7"/>
        <v>177469</v>
      </c>
      <c r="J63" s="172">
        <f t="shared" si="7"/>
        <v>274811.93</v>
      </c>
      <c r="K63" s="172">
        <f t="shared" si="7"/>
        <v>43766</v>
      </c>
      <c r="L63" s="172">
        <f t="shared" si="7"/>
        <v>61124.12</v>
      </c>
      <c r="M63" s="172">
        <f t="shared" si="7"/>
        <v>590771</v>
      </c>
      <c r="N63" s="172">
        <f t="shared" si="7"/>
        <v>1037493.99</v>
      </c>
      <c r="O63" s="264"/>
      <c r="P63" s="262"/>
      <c r="Q63" s="262"/>
    </row>
    <row r="64" spans="1:17" ht="15" customHeight="1" x14ac:dyDescent="0.2">
      <c r="C64" s="415" t="s">
        <v>1226</v>
      </c>
    </row>
    <row r="65" spans="3:16" hidden="1" x14ac:dyDescent="0.2">
      <c r="C65" s="168">
        <v>298133</v>
      </c>
      <c r="D65" s="168">
        <v>648001.04</v>
      </c>
      <c r="E65" s="168">
        <v>49592</v>
      </c>
      <c r="F65" s="168">
        <v>53217.47</v>
      </c>
      <c r="G65" s="168">
        <v>8000</v>
      </c>
      <c r="H65" s="168">
        <v>12058.41</v>
      </c>
      <c r="I65" s="168">
        <v>180317</v>
      </c>
      <c r="J65" s="168">
        <v>280710</v>
      </c>
      <c r="K65" s="168">
        <v>59902</v>
      </c>
      <c r="L65" s="168">
        <v>66635.199999999997</v>
      </c>
      <c r="M65" s="168">
        <v>595944</v>
      </c>
      <c r="N65" s="168">
        <v>1060622.1200000001</v>
      </c>
    </row>
    <row r="66" spans="3:16" hidden="1" x14ac:dyDescent="0.2"/>
    <row r="67" spans="3:16" hidden="1" x14ac:dyDescent="0.2"/>
    <row r="68" spans="3:16" hidden="1" x14ac:dyDescent="0.2">
      <c r="D68" s="168">
        <f t="shared" ref="D68:P68" si="8">D63-D65</f>
        <v>-14449.880000000005</v>
      </c>
      <c r="F68" s="168">
        <f t="shared" si="8"/>
        <v>3369.1999999999971</v>
      </c>
      <c r="H68" s="168">
        <f t="shared" si="8"/>
        <v>-638.29999999999927</v>
      </c>
      <c r="J68" s="168">
        <f t="shared" si="8"/>
        <v>-5898.070000000007</v>
      </c>
      <c r="L68" s="168">
        <f t="shared" si="8"/>
        <v>-5511.0799999999945</v>
      </c>
      <c r="M68" s="168">
        <f t="shared" si="8"/>
        <v>-5173</v>
      </c>
      <c r="N68" s="168">
        <f t="shared" si="8"/>
        <v>-23128.130000000121</v>
      </c>
      <c r="O68" s="168">
        <f t="shared" si="8"/>
        <v>0</v>
      </c>
      <c r="P68" s="168">
        <f t="shared" si="8"/>
        <v>0</v>
      </c>
    </row>
    <row r="69" spans="3:16" hidden="1" x14ac:dyDescent="0.2"/>
  </sheetData>
  <mergeCells count="12">
    <mergeCell ref="A4:A5"/>
    <mergeCell ref="B4:B5"/>
    <mergeCell ref="A1:O1"/>
    <mergeCell ref="A2:O2"/>
    <mergeCell ref="O4:O5"/>
    <mergeCell ref="C4:D4"/>
    <mergeCell ref="E4:F4"/>
    <mergeCell ref="G4:H4"/>
    <mergeCell ref="I4:J4"/>
    <mergeCell ref="M4:N4"/>
    <mergeCell ref="K4:L4"/>
    <mergeCell ref="L3:M3"/>
  </mergeCells>
  <conditionalFormatting sqref="L3">
    <cfRule type="cellIs" dxfId="87" priority="8" operator="lessThan">
      <formula>0</formula>
    </cfRule>
  </conditionalFormatting>
  <conditionalFormatting sqref="B6">
    <cfRule type="duplicateValues" dxfId="86" priority="2"/>
  </conditionalFormatting>
  <conditionalFormatting sqref="B22">
    <cfRule type="duplicateValues" dxfId="85" priority="3"/>
  </conditionalFormatting>
  <conditionalFormatting sqref="B33:B34 B26:B30">
    <cfRule type="duplicateValues" dxfId="84" priority="4"/>
  </conditionalFormatting>
  <conditionalFormatting sqref="B52">
    <cfRule type="duplicateValues" dxfId="83" priority="5"/>
  </conditionalFormatting>
  <conditionalFormatting sqref="B56">
    <cfRule type="duplicateValues" dxfId="82" priority="6"/>
  </conditionalFormatting>
  <conditionalFormatting sqref="B58">
    <cfRule type="duplicateValues" dxfId="81" priority="7"/>
  </conditionalFormatting>
  <conditionalFormatting sqref="O1:O55 O57:O67 O69:O1048576">
    <cfRule type="cellIs" dxfId="80" priority="1" stopIfTrue="1" operator="greaterThan">
      <formula>100</formula>
    </cfRule>
  </conditionalFormatting>
  <pageMargins left="0.45" right="0.2" top="0.25" bottom="0.25" header="0.3" footer="0.3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"/>
  <sheetViews>
    <sheetView view="pageBreakPreview" zoomScale="60" zoomScaleNormal="100" workbookViewId="0">
      <pane xSplit="1" ySplit="5" topLeftCell="B42" activePane="bottomRight" state="frozen"/>
      <selection activeCell="A35" sqref="A35:IV35"/>
      <selection pane="topRight" activeCell="A35" sqref="A35:IV35"/>
      <selection pane="bottomLeft" activeCell="A35" sqref="A35:IV35"/>
      <selection pane="bottomRight" activeCell="U58" sqref="U58"/>
    </sheetView>
  </sheetViews>
  <sheetFormatPr defaultRowHeight="12.75" x14ac:dyDescent="0.2"/>
  <cols>
    <col min="1" max="1" width="4.5703125" style="5" customWidth="1"/>
    <col min="2" max="2" width="29.5703125" style="5" customWidth="1"/>
    <col min="3" max="9" width="9.140625" style="5"/>
    <col min="10" max="10" width="10.42578125" style="5" bestFit="1" customWidth="1"/>
    <col min="11" max="11" width="9.140625" style="5"/>
    <col min="12" max="12" width="10.5703125" style="5" bestFit="1" customWidth="1"/>
    <col min="13" max="14" width="9.140625" style="5" hidden="1" customWidth="1"/>
    <col min="15" max="15" width="9.140625" style="210" hidden="1" customWidth="1"/>
    <col min="16" max="16" width="9.140625" style="5" hidden="1" customWidth="1"/>
    <col min="17" max="16384" width="9.140625" style="5"/>
  </cols>
  <sheetData>
    <row r="1" spans="1:18" ht="15.75" customHeight="1" x14ac:dyDescent="0.2">
      <c r="A1" s="514" t="s">
        <v>362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8" x14ac:dyDescent="0.2">
      <c r="A2" s="534" t="s">
        <v>171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</row>
    <row r="3" spans="1:18" x14ac:dyDescent="0.2">
      <c r="A3" s="137"/>
      <c r="B3" s="27" t="s">
        <v>12</v>
      </c>
      <c r="C3" s="137"/>
      <c r="D3" s="26"/>
      <c r="E3" s="26"/>
      <c r="F3" s="26"/>
      <c r="G3" s="26"/>
      <c r="H3" s="26"/>
      <c r="I3" s="535" t="s">
        <v>170</v>
      </c>
      <c r="J3" s="535"/>
    </row>
    <row r="4" spans="1:18" ht="15" customHeight="1" x14ac:dyDescent="0.2">
      <c r="A4" s="532" t="s">
        <v>231</v>
      </c>
      <c r="B4" s="532" t="s">
        <v>3</v>
      </c>
      <c r="C4" s="532" t="s">
        <v>24</v>
      </c>
      <c r="D4" s="532"/>
      <c r="E4" s="532" t="s">
        <v>19</v>
      </c>
      <c r="F4" s="532"/>
      <c r="G4" s="532" t="s">
        <v>20</v>
      </c>
      <c r="H4" s="532"/>
      <c r="I4" s="532" t="s">
        <v>53</v>
      </c>
      <c r="J4" s="532"/>
      <c r="K4" s="532" t="s">
        <v>37</v>
      </c>
      <c r="L4" s="532"/>
    </row>
    <row r="5" spans="1:18" ht="15" customHeight="1" x14ac:dyDescent="0.2">
      <c r="A5" s="532"/>
      <c r="B5" s="532"/>
      <c r="C5" s="209" t="s">
        <v>30</v>
      </c>
      <c r="D5" s="209" t="s">
        <v>17</v>
      </c>
      <c r="E5" s="209" t="s">
        <v>30</v>
      </c>
      <c r="F5" s="209" t="s">
        <v>17</v>
      </c>
      <c r="G5" s="209" t="s">
        <v>30</v>
      </c>
      <c r="H5" s="209" t="s">
        <v>17</v>
      </c>
      <c r="I5" s="209" t="s">
        <v>30</v>
      </c>
      <c r="J5" s="209" t="s">
        <v>17</v>
      </c>
      <c r="K5" s="209" t="s">
        <v>30</v>
      </c>
      <c r="L5" s="209" t="s">
        <v>17</v>
      </c>
    </row>
    <row r="6" spans="1:18" ht="15" customHeight="1" x14ac:dyDescent="0.2">
      <c r="A6" s="131">
        <v>1</v>
      </c>
      <c r="B6" s="150" t="s">
        <v>55</v>
      </c>
      <c r="C6" s="174">
        <v>7</v>
      </c>
      <c r="D6" s="174">
        <v>53.11</v>
      </c>
      <c r="E6" s="174">
        <v>0</v>
      </c>
      <c r="F6" s="174">
        <v>0</v>
      </c>
      <c r="G6" s="174">
        <v>0</v>
      </c>
      <c r="H6" s="174">
        <v>0</v>
      </c>
      <c r="I6" s="174">
        <v>935</v>
      </c>
      <c r="J6" s="174">
        <v>53809.02</v>
      </c>
      <c r="K6" s="174">
        <f>C6+E6+G6+I6</f>
        <v>942</v>
      </c>
      <c r="L6" s="174">
        <f>D6+F6+H6+J6</f>
        <v>53862.13</v>
      </c>
      <c r="M6" s="266">
        <f>NPA_PS_14!N6</f>
        <v>54805.43</v>
      </c>
      <c r="N6" s="266">
        <f t="shared" ref="N6:N58" si="0">L6+M6</f>
        <v>108667.56</v>
      </c>
      <c r="O6" s="267">
        <f>NPA_13!D6</f>
        <v>108667.56</v>
      </c>
      <c r="P6" s="266">
        <f t="shared" ref="P6:P58" si="1">N6-O6</f>
        <v>0</v>
      </c>
      <c r="Q6" s="266"/>
      <c r="R6" s="266"/>
    </row>
    <row r="7" spans="1:18" ht="15" customHeight="1" x14ac:dyDescent="0.2">
      <c r="A7" s="131">
        <v>2</v>
      </c>
      <c r="B7" s="150" t="s">
        <v>56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f t="shared" ref="K7:K61" si="2">C7+E7+G7+I7</f>
        <v>0</v>
      </c>
      <c r="L7" s="174">
        <f t="shared" ref="L7:L61" si="3">D7+F7+H7+J7</f>
        <v>0</v>
      </c>
      <c r="M7" s="266">
        <f>NPA_PS_14!N7</f>
        <v>4788.9299999999994</v>
      </c>
      <c r="N7" s="266">
        <f t="shared" si="0"/>
        <v>4788.9299999999994</v>
      </c>
      <c r="O7" s="267">
        <f>NPA_13!D7</f>
        <v>4788.93</v>
      </c>
      <c r="P7" s="266">
        <f t="shared" si="1"/>
        <v>0</v>
      </c>
      <c r="Q7" s="266"/>
      <c r="R7" s="266"/>
    </row>
    <row r="8" spans="1:18" ht="15" customHeight="1" x14ac:dyDescent="0.2">
      <c r="A8" s="131">
        <v>3</v>
      </c>
      <c r="B8" s="150" t="s">
        <v>57</v>
      </c>
      <c r="C8" s="174">
        <v>35</v>
      </c>
      <c r="D8" s="174">
        <v>6418</v>
      </c>
      <c r="E8" s="174">
        <v>53</v>
      </c>
      <c r="F8" s="174">
        <v>1881</v>
      </c>
      <c r="G8" s="174">
        <v>11</v>
      </c>
      <c r="H8" s="174">
        <v>104</v>
      </c>
      <c r="I8" s="174">
        <v>506</v>
      </c>
      <c r="J8" s="174">
        <v>18334</v>
      </c>
      <c r="K8" s="174">
        <f t="shared" si="2"/>
        <v>605</v>
      </c>
      <c r="L8" s="174">
        <f t="shared" si="3"/>
        <v>26737</v>
      </c>
      <c r="M8" s="266">
        <f>NPA_PS_14!N8</f>
        <v>62860</v>
      </c>
      <c r="N8" s="266">
        <f t="shared" si="0"/>
        <v>89597</v>
      </c>
      <c r="O8" s="267">
        <f>NPA_13!D8</f>
        <v>89597</v>
      </c>
      <c r="P8" s="266">
        <f t="shared" si="1"/>
        <v>0</v>
      </c>
      <c r="Q8" s="266"/>
      <c r="R8" s="266"/>
    </row>
    <row r="9" spans="1:18" ht="15" customHeight="1" x14ac:dyDescent="0.2">
      <c r="A9" s="131">
        <v>4</v>
      </c>
      <c r="B9" s="150" t="s">
        <v>58</v>
      </c>
      <c r="C9" s="174">
        <v>3333</v>
      </c>
      <c r="D9" s="174">
        <v>9364</v>
      </c>
      <c r="E9" s="174">
        <v>810</v>
      </c>
      <c r="F9" s="174">
        <v>2163</v>
      </c>
      <c r="G9" s="174">
        <v>1750</v>
      </c>
      <c r="H9" s="174">
        <v>4949</v>
      </c>
      <c r="I9" s="174">
        <v>1270</v>
      </c>
      <c r="J9" s="174">
        <v>3918</v>
      </c>
      <c r="K9" s="174">
        <f t="shared" si="2"/>
        <v>7163</v>
      </c>
      <c r="L9" s="174">
        <f t="shared" si="3"/>
        <v>20394</v>
      </c>
      <c r="M9" s="266">
        <f>NPA_PS_14!N9</f>
        <v>53418</v>
      </c>
      <c r="N9" s="266">
        <f t="shared" si="0"/>
        <v>73812</v>
      </c>
      <c r="O9" s="267">
        <f>NPA_13!D9</f>
        <v>73812</v>
      </c>
      <c r="P9" s="266">
        <f t="shared" si="1"/>
        <v>0</v>
      </c>
      <c r="Q9" s="266"/>
      <c r="R9" s="266"/>
    </row>
    <row r="10" spans="1:18" ht="15" customHeight="1" x14ac:dyDescent="0.2">
      <c r="A10" s="131">
        <v>5</v>
      </c>
      <c r="B10" s="152" t="s">
        <v>59</v>
      </c>
      <c r="C10" s="174">
        <v>28</v>
      </c>
      <c r="D10" s="174">
        <v>135.38</v>
      </c>
      <c r="E10" s="174">
        <v>432</v>
      </c>
      <c r="F10" s="174">
        <v>6324</v>
      </c>
      <c r="G10" s="174">
        <v>27</v>
      </c>
      <c r="H10" s="174">
        <v>63</v>
      </c>
      <c r="I10" s="174">
        <v>1689</v>
      </c>
      <c r="J10" s="174">
        <v>17241</v>
      </c>
      <c r="K10" s="174">
        <f t="shared" si="2"/>
        <v>2176</v>
      </c>
      <c r="L10" s="174">
        <f t="shared" si="3"/>
        <v>23763.38</v>
      </c>
      <c r="M10" s="266">
        <f>NPA_PS_14!N10</f>
        <v>28961</v>
      </c>
      <c r="N10" s="266">
        <f t="shared" si="0"/>
        <v>52724.380000000005</v>
      </c>
      <c r="O10" s="267">
        <f>NPA_13!D10</f>
        <v>52724.38</v>
      </c>
      <c r="P10" s="266">
        <f t="shared" si="1"/>
        <v>0</v>
      </c>
      <c r="Q10" s="266"/>
      <c r="R10" s="266"/>
    </row>
    <row r="11" spans="1:18" ht="15" customHeight="1" x14ac:dyDescent="0.2">
      <c r="A11" s="131">
        <v>6</v>
      </c>
      <c r="B11" s="150" t="s">
        <v>242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f t="shared" si="2"/>
        <v>0</v>
      </c>
      <c r="L11" s="174">
        <f t="shared" si="3"/>
        <v>0</v>
      </c>
      <c r="M11" s="266">
        <f>NPA_PS_14!N11</f>
        <v>4.9400000000000004</v>
      </c>
      <c r="N11" s="266">
        <f t="shared" si="0"/>
        <v>4.9400000000000004</v>
      </c>
      <c r="O11" s="267">
        <f>NPA_13!D11</f>
        <v>4.9400000000000004</v>
      </c>
      <c r="P11" s="266">
        <f t="shared" si="1"/>
        <v>0</v>
      </c>
      <c r="Q11" s="266"/>
      <c r="R11" s="266"/>
    </row>
    <row r="12" spans="1:18" ht="15" customHeight="1" x14ac:dyDescent="0.2">
      <c r="A12" s="131">
        <v>7</v>
      </c>
      <c r="B12" s="150" t="s">
        <v>60</v>
      </c>
      <c r="C12" s="174">
        <v>3</v>
      </c>
      <c r="D12" s="174">
        <v>1461</v>
      </c>
      <c r="E12" s="174">
        <v>18</v>
      </c>
      <c r="F12" s="174">
        <v>497</v>
      </c>
      <c r="G12" s="174">
        <v>58</v>
      </c>
      <c r="H12" s="174">
        <v>208</v>
      </c>
      <c r="I12" s="174">
        <v>1415</v>
      </c>
      <c r="J12" s="174">
        <v>2196</v>
      </c>
      <c r="K12" s="174">
        <f t="shared" si="2"/>
        <v>1494</v>
      </c>
      <c r="L12" s="174">
        <f t="shared" si="3"/>
        <v>4362</v>
      </c>
      <c r="M12" s="266">
        <f>NPA_PS_14!N12</f>
        <v>20874</v>
      </c>
      <c r="N12" s="266">
        <f t="shared" si="0"/>
        <v>25236</v>
      </c>
      <c r="O12" s="267">
        <f>NPA_13!D12</f>
        <v>25236</v>
      </c>
      <c r="P12" s="266">
        <f t="shared" si="1"/>
        <v>0</v>
      </c>
      <c r="Q12" s="266"/>
      <c r="R12" s="266"/>
    </row>
    <row r="13" spans="1:18" ht="15" customHeight="1" x14ac:dyDescent="0.2">
      <c r="A13" s="131">
        <v>8</v>
      </c>
      <c r="B13" s="150" t="s">
        <v>61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6445</v>
      </c>
      <c r="J13" s="174">
        <v>40600</v>
      </c>
      <c r="K13" s="174">
        <f t="shared" si="2"/>
        <v>6445</v>
      </c>
      <c r="L13" s="174">
        <f t="shared" si="3"/>
        <v>40600</v>
      </c>
      <c r="M13" s="266">
        <f>NPA_PS_14!N13</f>
        <v>66982</v>
      </c>
      <c r="N13" s="266">
        <f t="shared" si="0"/>
        <v>107582</v>
      </c>
      <c r="O13" s="267">
        <f>NPA_13!D13</f>
        <v>107582</v>
      </c>
      <c r="P13" s="266">
        <f t="shared" si="1"/>
        <v>0</v>
      </c>
      <c r="Q13" s="266"/>
      <c r="R13" s="266"/>
    </row>
    <row r="14" spans="1:18" ht="15" customHeight="1" x14ac:dyDescent="0.2">
      <c r="A14" s="131">
        <v>9</v>
      </c>
      <c r="B14" s="150" t="s">
        <v>48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27</v>
      </c>
      <c r="J14" s="174">
        <v>3361</v>
      </c>
      <c r="K14" s="174">
        <f t="shared" si="2"/>
        <v>27</v>
      </c>
      <c r="L14" s="174">
        <f t="shared" si="3"/>
        <v>3361</v>
      </c>
      <c r="M14" s="266">
        <f>NPA_PS_14!N14</f>
        <v>2861</v>
      </c>
      <c r="N14" s="266">
        <f t="shared" si="0"/>
        <v>6222</v>
      </c>
      <c r="O14" s="267">
        <f>NPA_13!D14</f>
        <v>6222</v>
      </c>
      <c r="P14" s="266">
        <f t="shared" si="1"/>
        <v>0</v>
      </c>
      <c r="Q14" s="266"/>
      <c r="R14" s="266"/>
    </row>
    <row r="15" spans="1:18" ht="15" customHeight="1" x14ac:dyDescent="0.2">
      <c r="A15" s="131">
        <v>10</v>
      </c>
      <c r="B15" s="150" t="s">
        <v>49</v>
      </c>
      <c r="C15" s="174">
        <v>0</v>
      </c>
      <c r="D15" s="174">
        <v>0</v>
      </c>
      <c r="E15" s="174">
        <v>13</v>
      </c>
      <c r="F15" s="174">
        <v>143</v>
      </c>
      <c r="G15" s="174">
        <v>0</v>
      </c>
      <c r="H15" s="174">
        <v>0</v>
      </c>
      <c r="I15" s="174">
        <v>827</v>
      </c>
      <c r="J15" s="174">
        <v>5547</v>
      </c>
      <c r="K15" s="174">
        <f t="shared" si="2"/>
        <v>840</v>
      </c>
      <c r="L15" s="174">
        <f t="shared" si="3"/>
        <v>5690</v>
      </c>
      <c r="M15" s="266">
        <f>NPA_PS_14!N15</f>
        <v>8571</v>
      </c>
      <c r="N15" s="266">
        <f t="shared" si="0"/>
        <v>14261</v>
      </c>
      <c r="O15" s="267">
        <f>NPA_13!D15</f>
        <v>14261</v>
      </c>
      <c r="P15" s="266">
        <f t="shared" si="1"/>
        <v>0</v>
      </c>
      <c r="Q15" s="266"/>
      <c r="R15" s="266"/>
    </row>
    <row r="16" spans="1:18" ht="15" customHeight="1" x14ac:dyDescent="0.2">
      <c r="A16" s="131">
        <v>11</v>
      </c>
      <c r="B16" s="150" t="s">
        <v>81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99</v>
      </c>
      <c r="J16" s="174">
        <v>48293</v>
      </c>
      <c r="K16" s="174">
        <f t="shared" si="2"/>
        <v>99</v>
      </c>
      <c r="L16" s="174">
        <f t="shared" si="3"/>
        <v>48293</v>
      </c>
      <c r="M16" s="266">
        <f>NPA_PS_14!N16</f>
        <v>8786</v>
      </c>
      <c r="N16" s="266">
        <f t="shared" si="0"/>
        <v>57079</v>
      </c>
      <c r="O16" s="267">
        <f>NPA_13!D16</f>
        <v>57079</v>
      </c>
      <c r="P16" s="266">
        <f t="shared" si="1"/>
        <v>0</v>
      </c>
      <c r="Q16" s="266"/>
      <c r="R16" s="266"/>
    </row>
    <row r="17" spans="1:18" ht="15" customHeight="1" x14ac:dyDescent="0.2">
      <c r="A17" s="131">
        <v>12</v>
      </c>
      <c r="B17" s="150" t="s">
        <v>62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22</v>
      </c>
      <c r="J17" s="174">
        <v>3296.76</v>
      </c>
      <c r="K17" s="174">
        <f t="shared" si="2"/>
        <v>22</v>
      </c>
      <c r="L17" s="174">
        <f t="shared" si="3"/>
        <v>3296.76</v>
      </c>
      <c r="M17" s="266">
        <f>NPA_PS_14!N17</f>
        <v>772.18999999999994</v>
      </c>
      <c r="N17" s="266">
        <f t="shared" si="0"/>
        <v>4068.9500000000003</v>
      </c>
      <c r="O17" s="267">
        <f>NPA_13!D17</f>
        <v>4068.95</v>
      </c>
      <c r="P17" s="266">
        <f t="shared" si="1"/>
        <v>0</v>
      </c>
      <c r="Q17" s="266"/>
      <c r="R17" s="266"/>
    </row>
    <row r="18" spans="1:18" ht="15" customHeight="1" x14ac:dyDescent="0.2">
      <c r="A18" s="131">
        <v>13</v>
      </c>
      <c r="B18" s="102" t="s">
        <v>63</v>
      </c>
      <c r="C18" s="174">
        <v>4</v>
      </c>
      <c r="D18" s="174">
        <v>16222</v>
      </c>
      <c r="E18" s="174">
        <v>0</v>
      </c>
      <c r="F18" s="174">
        <v>0</v>
      </c>
      <c r="G18" s="174">
        <v>0</v>
      </c>
      <c r="H18" s="174">
        <v>0</v>
      </c>
      <c r="I18" s="174">
        <v>125</v>
      </c>
      <c r="J18" s="174">
        <v>606</v>
      </c>
      <c r="K18" s="174">
        <f t="shared" si="2"/>
        <v>129</v>
      </c>
      <c r="L18" s="174">
        <f t="shared" si="3"/>
        <v>16828</v>
      </c>
      <c r="M18" s="266">
        <f>NPA_PS_14!N18</f>
        <v>739</v>
      </c>
      <c r="N18" s="266">
        <f t="shared" si="0"/>
        <v>17567</v>
      </c>
      <c r="O18" s="267">
        <f>NPA_13!D18</f>
        <v>17567</v>
      </c>
      <c r="P18" s="266">
        <f t="shared" si="1"/>
        <v>0</v>
      </c>
      <c r="Q18" s="266"/>
      <c r="R18" s="266"/>
    </row>
    <row r="19" spans="1:18" ht="15" customHeight="1" x14ac:dyDescent="0.2">
      <c r="A19" s="131">
        <v>14</v>
      </c>
      <c r="B19" s="150" t="s">
        <v>207</v>
      </c>
      <c r="C19" s="174">
        <v>6</v>
      </c>
      <c r="D19" s="174">
        <v>7079.03</v>
      </c>
      <c r="E19" s="174">
        <v>3</v>
      </c>
      <c r="F19" s="174">
        <v>31.58</v>
      </c>
      <c r="G19" s="174">
        <v>0</v>
      </c>
      <c r="H19" s="174">
        <v>0</v>
      </c>
      <c r="I19" s="174">
        <v>556</v>
      </c>
      <c r="J19" s="174">
        <v>18309.96</v>
      </c>
      <c r="K19" s="174">
        <f t="shared" si="2"/>
        <v>565</v>
      </c>
      <c r="L19" s="174">
        <f t="shared" si="3"/>
        <v>25420.57</v>
      </c>
      <c r="M19" s="266">
        <f>NPA_PS_14!N19</f>
        <v>10967.76</v>
      </c>
      <c r="N19" s="266">
        <f t="shared" si="0"/>
        <v>36388.33</v>
      </c>
      <c r="O19" s="267">
        <f>NPA_13!D19</f>
        <v>36388.33</v>
      </c>
      <c r="P19" s="266">
        <f t="shared" si="1"/>
        <v>0</v>
      </c>
      <c r="Q19" s="266"/>
      <c r="R19" s="266"/>
    </row>
    <row r="20" spans="1:18" ht="15" customHeight="1" x14ac:dyDescent="0.2">
      <c r="A20" s="131">
        <v>15</v>
      </c>
      <c r="B20" s="150" t="s">
        <v>208</v>
      </c>
      <c r="C20" s="174">
        <v>0</v>
      </c>
      <c r="D20" s="174">
        <v>0</v>
      </c>
      <c r="E20" s="174">
        <v>45</v>
      </c>
      <c r="F20" s="174">
        <v>56</v>
      </c>
      <c r="G20" s="174">
        <v>0</v>
      </c>
      <c r="H20" s="174">
        <v>0</v>
      </c>
      <c r="I20" s="174">
        <v>498</v>
      </c>
      <c r="J20" s="174">
        <v>69.17</v>
      </c>
      <c r="K20" s="174">
        <f t="shared" si="2"/>
        <v>543</v>
      </c>
      <c r="L20" s="174">
        <f t="shared" si="3"/>
        <v>125.17</v>
      </c>
      <c r="M20" s="266">
        <f>NPA_PS_14!N20</f>
        <v>3863.4900000000002</v>
      </c>
      <c r="N20" s="266">
        <f t="shared" si="0"/>
        <v>3988.6600000000003</v>
      </c>
      <c r="O20" s="267">
        <f>NPA_13!D20</f>
        <v>3988.66</v>
      </c>
      <c r="P20" s="266">
        <f t="shared" si="1"/>
        <v>0</v>
      </c>
      <c r="Q20" s="266"/>
      <c r="R20" s="266"/>
    </row>
    <row r="21" spans="1:18" ht="15" customHeight="1" x14ac:dyDescent="0.2">
      <c r="A21" s="131">
        <v>16</v>
      </c>
      <c r="B21" s="103" t="s">
        <v>64</v>
      </c>
      <c r="C21" s="174">
        <v>3</v>
      </c>
      <c r="D21" s="174">
        <v>2754</v>
      </c>
      <c r="E21" s="174">
        <v>131</v>
      </c>
      <c r="F21" s="174">
        <v>2307</v>
      </c>
      <c r="G21" s="174">
        <v>0</v>
      </c>
      <c r="H21" s="174">
        <v>0</v>
      </c>
      <c r="I21" s="174">
        <v>1259</v>
      </c>
      <c r="J21" s="174">
        <v>33863</v>
      </c>
      <c r="K21" s="174">
        <f t="shared" si="2"/>
        <v>1393</v>
      </c>
      <c r="L21" s="174">
        <f t="shared" si="3"/>
        <v>38924</v>
      </c>
      <c r="M21" s="266">
        <f>NPA_PS_14!N21</f>
        <v>69552</v>
      </c>
      <c r="N21" s="266">
        <f t="shared" si="0"/>
        <v>108476</v>
      </c>
      <c r="O21" s="267">
        <f>NPA_13!D21</f>
        <v>108476</v>
      </c>
      <c r="P21" s="266">
        <f t="shared" si="1"/>
        <v>0</v>
      </c>
      <c r="Q21" s="266"/>
      <c r="R21" s="266"/>
    </row>
    <row r="22" spans="1:18" ht="15" customHeight="1" x14ac:dyDescent="0.2">
      <c r="A22" s="131">
        <v>17</v>
      </c>
      <c r="B22" s="98" t="s">
        <v>69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f t="shared" si="2"/>
        <v>0</v>
      </c>
      <c r="L22" s="174">
        <f t="shared" si="3"/>
        <v>0</v>
      </c>
      <c r="M22" s="266">
        <f>NPA_PS_14!N22</f>
        <v>0</v>
      </c>
      <c r="N22" s="266">
        <f t="shared" si="0"/>
        <v>0</v>
      </c>
      <c r="O22" s="267">
        <f>NPA_13!D22</f>
        <v>0</v>
      </c>
      <c r="P22" s="266">
        <f t="shared" si="1"/>
        <v>0</v>
      </c>
      <c r="Q22" s="266"/>
      <c r="R22" s="266"/>
    </row>
    <row r="23" spans="1:18" ht="15" customHeight="1" x14ac:dyDescent="0.2">
      <c r="A23" s="131">
        <v>18</v>
      </c>
      <c r="B23" s="104" t="s">
        <v>209</v>
      </c>
      <c r="C23" s="174">
        <v>19</v>
      </c>
      <c r="D23" s="174">
        <v>8103.51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f t="shared" si="2"/>
        <v>19</v>
      </c>
      <c r="L23" s="174">
        <f t="shared" si="3"/>
        <v>8103.51</v>
      </c>
      <c r="M23" s="266">
        <f>NPA_PS_14!N23</f>
        <v>342.3</v>
      </c>
      <c r="N23" s="266">
        <f t="shared" si="0"/>
        <v>8445.81</v>
      </c>
      <c r="O23" s="267">
        <f>NPA_13!D23</f>
        <v>8445.81</v>
      </c>
      <c r="P23" s="266">
        <f t="shared" si="1"/>
        <v>0</v>
      </c>
      <c r="Q23" s="266"/>
      <c r="R23" s="266"/>
    </row>
    <row r="24" spans="1:18" ht="15" customHeight="1" x14ac:dyDescent="0.2">
      <c r="A24" s="131">
        <v>19</v>
      </c>
      <c r="B24" s="150" t="s">
        <v>210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97</v>
      </c>
      <c r="J24" s="174">
        <v>56.71</v>
      </c>
      <c r="K24" s="174">
        <f t="shared" si="2"/>
        <v>97</v>
      </c>
      <c r="L24" s="174">
        <f t="shared" si="3"/>
        <v>56.71</v>
      </c>
      <c r="M24" s="266">
        <f>NPA_PS_14!N24</f>
        <v>398</v>
      </c>
      <c r="N24" s="266">
        <f t="shared" si="0"/>
        <v>454.71</v>
      </c>
      <c r="O24" s="267">
        <f>NPA_13!D24</f>
        <v>454.71</v>
      </c>
      <c r="P24" s="266">
        <f t="shared" si="1"/>
        <v>0</v>
      </c>
      <c r="Q24" s="266"/>
      <c r="R24" s="266"/>
    </row>
    <row r="25" spans="1:18" ht="15" customHeight="1" x14ac:dyDescent="0.2">
      <c r="A25" s="131">
        <v>20</v>
      </c>
      <c r="B25" s="150" t="s">
        <v>211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4</v>
      </c>
      <c r="J25" s="174">
        <v>10977</v>
      </c>
      <c r="K25" s="174">
        <f t="shared" si="2"/>
        <v>4</v>
      </c>
      <c r="L25" s="174">
        <f t="shared" si="3"/>
        <v>10977</v>
      </c>
      <c r="M25" s="266">
        <f>NPA_PS_14!N25</f>
        <v>2661</v>
      </c>
      <c r="N25" s="266">
        <f t="shared" si="0"/>
        <v>13638</v>
      </c>
      <c r="O25" s="267">
        <f>NPA_13!D25</f>
        <v>13638</v>
      </c>
      <c r="P25" s="266">
        <f t="shared" si="1"/>
        <v>0</v>
      </c>
      <c r="Q25" s="266"/>
      <c r="R25" s="266"/>
    </row>
    <row r="26" spans="1:18" ht="15" customHeight="1" x14ac:dyDescent="0.2">
      <c r="A26" s="131">
        <v>21</v>
      </c>
      <c r="B26" s="150" t="s">
        <v>212</v>
      </c>
      <c r="C26" s="174">
        <v>22</v>
      </c>
      <c r="D26" s="174">
        <v>17188</v>
      </c>
      <c r="E26" s="174">
        <v>67</v>
      </c>
      <c r="F26" s="174">
        <v>268</v>
      </c>
      <c r="G26" s="174">
        <v>18</v>
      </c>
      <c r="H26" s="174">
        <v>22</v>
      </c>
      <c r="I26" s="174">
        <v>90</v>
      </c>
      <c r="J26" s="174">
        <v>46.3</v>
      </c>
      <c r="K26" s="174">
        <f t="shared" si="2"/>
        <v>197</v>
      </c>
      <c r="L26" s="174">
        <f t="shared" si="3"/>
        <v>17524.3</v>
      </c>
      <c r="M26" s="266">
        <f>NPA_PS_14!N26</f>
        <v>626.70000000000005</v>
      </c>
      <c r="N26" s="266">
        <f t="shared" si="0"/>
        <v>18151</v>
      </c>
      <c r="O26" s="267">
        <f>NPA_13!D26</f>
        <v>18151</v>
      </c>
      <c r="P26" s="266">
        <f t="shared" si="1"/>
        <v>0</v>
      </c>
      <c r="Q26" s="266"/>
      <c r="R26" s="266"/>
    </row>
    <row r="27" spans="1:18" ht="15" customHeight="1" x14ac:dyDescent="0.2">
      <c r="A27" s="131">
        <v>22</v>
      </c>
      <c r="B27" s="150" t="s">
        <v>70</v>
      </c>
      <c r="C27" s="174">
        <v>797</v>
      </c>
      <c r="D27" s="174">
        <v>4681</v>
      </c>
      <c r="E27" s="174">
        <v>3</v>
      </c>
      <c r="F27" s="174">
        <v>153</v>
      </c>
      <c r="G27" s="174">
        <v>2</v>
      </c>
      <c r="H27" s="174">
        <v>12</v>
      </c>
      <c r="I27" s="174">
        <v>5630</v>
      </c>
      <c r="J27" s="174">
        <f>4022+1168</f>
        <v>5190</v>
      </c>
      <c r="K27" s="174">
        <f t="shared" si="2"/>
        <v>6432</v>
      </c>
      <c r="L27" s="174">
        <f t="shared" si="3"/>
        <v>10036</v>
      </c>
      <c r="M27" s="266">
        <f>NPA_PS_14!N27</f>
        <v>93599</v>
      </c>
      <c r="N27" s="266">
        <f t="shared" si="0"/>
        <v>103635</v>
      </c>
      <c r="O27" s="267">
        <f>NPA_13!D27</f>
        <v>103635</v>
      </c>
      <c r="P27" s="266">
        <f t="shared" si="1"/>
        <v>0</v>
      </c>
      <c r="Q27" s="266"/>
      <c r="R27" s="266"/>
    </row>
    <row r="28" spans="1:18" ht="15" customHeight="1" x14ac:dyDescent="0.2">
      <c r="A28" s="131">
        <v>23</v>
      </c>
      <c r="B28" s="150" t="s">
        <v>65</v>
      </c>
      <c r="C28" s="174">
        <v>2</v>
      </c>
      <c r="D28" s="174">
        <v>3451</v>
      </c>
      <c r="E28" s="174">
        <v>7</v>
      </c>
      <c r="F28" s="174">
        <v>69</v>
      </c>
      <c r="G28" s="174">
        <v>0</v>
      </c>
      <c r="H28" s="174">
        <v>0</v>
      </c>
      <c r="I28" s="174">
        <v>1821</v>
      </c>
      <c r="J28" s="174">
        <v>6374</v>
      </c>
      <c r="K28" s="174">
        <f t="shared" si="2"/>
        <v>1830</v>
      </c>
      <c r="L28" s="174">
        <f t="shared" si="3"/>
        <v>9894</v>
      </c>
      <c r="M28" s="266">
        <f>NPA_PS_14!N28</f>
        <v>10893</v>
      </c>
      <c r="N28" s="266">
        <f t="shared" si="0"/>
        <v>20787</v>
      </c>
      <c r="O28" s="267">
        <f>NPA_13!D28</f>
        <v>20787</v>
      </c>
      <c r="P28" s="266">
        <f t="shared" si="1"/>
        <v>0</v>
      </c>
      <c r="Q28" s="266"/>
      <c r="R28" s="266"/>
    </row>
    <row r="29" spans="1:18" ht="15" customHeight="1" x14ac:dyDescent="0.2">
      <c r="A29" s="131">
        <v>24</v>
      </c>
      <c r="B29" s="150" t="s">
        <v>213</v>
      </c>
      <c r="C29" s="174">
        <v>90</v>
      </c>
      <c r="D29" s="174">
        <v>12126</v>
      </c>
      <c r="E29" s="174">
        <v>10</v>
      </c>
      <c r="F29" s="174">
        <v>21</v>
      </c>
      <c r="G29" s="174">
        <v>0</v>
      </c>
      <c r="H29" s="174">
        <v>0</v>
      </c>
      <c r="I29" s="174">
        <v>367</v>
      </c>
      <c r="J29" s="174">
        <v>604</v>
      </c>
      <c r="K29" s="174">
        <f t="shared" si="2"/>
        <v>467</v>
      </c>
      <c r="L29" s="174">
        <f t="shared" si="3"/>
        <v>12751</v>
      </c>
      <c r="M29" s="266">
        <f>NPA_PS_14!N29</f>
        <v>66261.73000000001</v>
      </c>
      <c r="N29" s="266">
        <f t="shared" si="0"/>
        <v>79012.73000000001</v>
      </c>
      <c r="O29" s="267">
        <f>NPA_13!D29</f>
        <v>79013</v>
      </c>
      <c r="P29" s="266">
        <f t="shared" si="1"/>
        <v>-0.26999999998952262</v>
      </c>
      <c r="Q29" s="266"/>
      <c r="R29" s="266"/>
    </row>
    <row r="30" spans="1:18" ht="15" customHeight="1" x14ac:dyDescent="0.2">
      <c r="A30" s="131">
        <v>25</v>
      </c>
      <c r="B30" s="152" t="s">
        <v>66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2283</v>
      </c>
      <c r="J30" s="174">
        <v>25706</v>
      </c>
      <c r="K30" s="174">
        <f t="shared" si="2"/>
        <v>2283</v>
      </c>
      <c r="L30" s="174">
        <f t="shared" si="3"/>
        <v>25706</v>
      </c>
      <c r="M30" s="266">
        <f>NPA_PS_14!N30</f>
        <v>46263</v>
      </c>
      <c r="N30" s="266">
        <f t="shared" si="0"/>
        <v>71969</v>
      </c>
      <c r="O30" s="267">
        <f>NPA_13!D30</f>
        <v>71969</v>
      </c>
      <c r="P30" s="266">
        <f t="shared" si="1"/>
        <v>0</v>
      </c>
      <c r="Q30" s="266"/>
      <c r="R30" s="266"/>
    </row>
    <row r="31" spans="1:18" ht="15" customHeight="1" x14ac:dyDescent="0.2">
      <c r="A31" s="131">
        <v>26</v>
      </c>
      <c r="B31" s="150" t="s">
        <v>67</v>
      </c>
      <c r="C31" s="174">
        <v>2</v>
      </c>
      <c r="D31" s="174">
        <v>7116</v>
      </c>
      <c r="E31" s="174">
        <v>3</v>
      </c>
      <c r="F31" s="174">
        <v>82</v>
      </c>
      <c r="G31" s="174">
        <v>0</v>
      </c>
      <c r="H31" s="174">
        <v>0</v>
      </c>
      <c r="I31" s="174">
        <v>14</v>
      </c>
      <c r="J31" s="174">
        <v>53</v>
      </c>
      <c r="K31" s="174">
        <f t="shared" si="2"/>
        <v>19</v>
      </c>
      <c r="L31" s="174">
        <f t="shared" si="3"/>
        <v>7251</v>
      </c>
      <c r="M31" s="266">
        <f>NPA_PS_14!N31</f>
        <v>757</v>
      </c>
      <c r="N31" s="266">
        <f t="shared" ref="N31:N33" si="4">L31+M31</f>
        <v>8008</v>
      </c>
      <c r="O31" s="267">
        <f>NPA_13!D31</f>
        <v>8008</v>
      </c>
      <c r="P31" s="266">
        <f t="shared" ref="P31:P33" si="5">N31-O31</f>
        <v>0</v>
      </c>
      <c r="Q31" s="266"/>
      <c r="R31" s="266"/>
    </row>
    <row r="32" spans="1:18" ht="15" customHeight="1" x14ac:dyDescent="0.2">
      <c r="A32" s="131">
        <v>27</v>
      </c>
      <c r="B32" s="150" t="s">
        <v>50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85</v>
      </c>
      <c r="J32" s="174">
        <v>1124</v>
      </c>
      <c r="K32" s="174">
        <f t="shared" si="2"/>
        <v>85</v>
      </c>
      <c r="L32" s="174">
        <f t="shared" si="3"/>
        <v>1124</v>
      </c>
      <c r="M32" s="266">
        <f>NPA_PS_14!N32</f>
        <v>1557</v>
      </c>
      <c r="N32" s="266">
        <f t="shared" si="4"/>
        <v>2681</v>
      </c>
      <c r="O32" s="267">
        <f>NPA_13!D32</f>
        <v>2681</v>
      </c>
      <c r="P32" s="266">
        <f t="shared" si="5"/>
        <v>0</v>
      </c>
      <c r="Q32" s="266"/>
      <c r="R32" s="266"/>
    </row>
    <row r="33" spans="1:18" s="265" customFormat="1" ht="15" customHeight="1" x14ac:dyDescent="0.2">
      <c r="A33" s="131"/>
      <c r="B33" s="153" t="s">
        <v>288</v>
      </c>
      <c r="C33" s="176">
        <f>SUM(C6:C32)</f>
        <v>4351</v>
      </c>
      <c r="D33" s="176">
        <f t="shared" ref="D33:L33" si="6">SUM(D6:D32)</f>
        <v>96152.03</v>
      </c>
      <c r="E33" s="176">
        <f t="shared" si="6"/>
        <v>1595</v>
      </c>
      <c r="F33" s="176">
        <f t="shared" si="6"/>
        <v>13995.58</v>
      </c>
      <c r="G33" s="176">
        <f t="shared" si="6"/>
        <v>1866</v>
      </c>
      <c r="H33" s="176">
        <f t="shared" si="6"/>
        <v>5358</v>
      </c>
      <c r="I33" s="176">
        <f t="shared" si="6"/>
        <v>26064</v>
      </c>
      <c r="J33" s="176">
        <f t="shared" si="6"/>
        <v>299574.92</v>
      </c>
      <c r="K33" s="176">
        <f t="shared" si="6"/>
        <v>33876</v>
      </c>
      <c r="L33" s="176">
        <f t="shared" si="6"/>
        <v>415080.53</v>
      </c>
      <c r="M33" s="266">
        <f>NPA_PS_14!N33</f>
        <v>622165.47</v>
      </c>
      <c r="N33" s="266">
        <f t="shared" si="4"/>
        <v>1037246</v>
      </c>
      <c r="O33" s="267">
        <f>NPA_13!D33</f>
        <v>1037246.27</v>
      </c>
      <c r="P33" s="266">
        <f t="shared" si="5"/>
        <v>-0.27000000001862645</v>
      </c>
      <c r="Q33" s="268"/>
      <c r="R33" s="268"/>
    </row>
    <row r="34" spans="1:18" ht="15" customHeight="1" x14ac:dyDescent="0.2">
      <c r="A34" s="131">
        <v>28</v>
      </c>
      <c r="B34" s="150" t="s">
        <v>47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756</v>
      </c>
      <c r="J34" s="174">
        <v>8683.1200000000008</v>
      </c>
      <c r="K34" s="174">
        <f t="shared" si="2"/>
        <v>756</v>
      </c>
      <c r="L34" s="174">
        <f t="shared" si="3"/>
        <v>8683.1200000000008</v>
      </c>
      <c r="M34" s="266">
        <f>NPA_PS_14!N34</f>
        <v>3798.0499999999997</v>
      </c>
      <c r="N34" s="266">
        <f t="shared" si="0"/>
        <v>12481.17</v>
      </c>
      <c r="O34" s="267">
        <f>NPA_13!D34</f>
        <v>12481</v>
      </c>
      <c r="P34" s="266">
        <f t="shared" si="1"/>
        <v>0.17000000000007276</v>
      </c>
      <c r="Q34" s="266"/>
      <c r="R34" s="266"/>
    </row>
    <row r="35" spans="1:18" ht="15" customHeight="1" x14ac:dyDescent="0.2">
      <c r="A35" s="131">
        <v>29</v>
      </c>
      <c r="B35" s="132" t="s">
        <v>215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f t="shared" si="2"/>
        <v>0</v>
      </c>
      <c r="L35" s="174">
        <f t="shared" si="3"/>
        <v>0</v>
      </c>
      <c r="M35" s="266">
        <f>NPA_PS_14!N35</f>
        <v>0</v>
      </c>
      <c r="N35" s="266">
        <f t="shared" si="0"/>
        <v>0</v>
      </c>
      <c r="O35" s="267">
        <f>NPA_13!D35</f>
        <v>0</v>
      </c>
      <c r="P35" s="266">
        <f t="shared" si="1"/>
        <v>0</v>
      </c>
      <c r="Q35" s="266"/>
      <c r="R35" s="266"/>
    </row>
    <row r="36" spans="1:18" ht="15" customHeight="1" x14ac:dyDescent="0.2">
      <c r="A36" s="131">
        <v>30</v>
      </c>
      <c r="B36" s="132" t="s">
        <v>216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f t="shared" si="2"/>
        <v>0</v>
      </c>
      <c r="L36" s="174">
        <f t="shared" si="3"/>
        <v>0</v>
      </c>
      <c r="M36" s="266">
        <f>NPA_PS_14!N36</f>
        <v>0</v>
      </c>
      <c r="N36" s="266">
        <f t="shared" si="0"/>
        <v>0</v>
      </c>
      <c r="O36" s="267">
        <f>NPA_13!D36</f>
        <v>0</v>
      </c>
      <c r="P36" s="266">
        <f t="shared" si="1"/>
        <v>0</v>
      </c>
      <c r="Q36" s="266"/>
      <c r="R36" s="266"/>
    </row>
    <row r="37" spans="1:18" ht="15" customHeight="1" x14ac:dyDescent="0.2">
      <c r="A37" s="131">
        <v>31</v>
      </c>
      <c r="B37" s="150" t="s">
        <v>78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f t="shared" si="2"/>
        <v>0</v>
      </c>
      <c r="L37" s="174">
        <f t="shared" si="3"/>
        <v>0</v>
      </c>
      <c r="M37" s="266">
        <f>NPA_PS_14!N37</f>
        <v>0</v>
      </c>
      <c r="N37" s="266">
        <f t="shared" si="0"/>
        <v>0</v>
      </c>
      <c r="O37" s="267">
        <f>NPA_13!D37</f>
        <v>0</v>
      </c>
      <c r="P37" s="266">
        <f t="shared" si="1"/>
        <v>0</v>
      </c>
      <c r="Q37" s="266"/>
      <c r="R37" s="266"/>
    </row>
    <row r="38" spans="1:18" ht="15" customHeight="1" x14ac:dyDescent="0.2">
      <c r="A38" s="131">
        <v>32</v>
      </c>
      <c r="B38" s="150" t="s">
        <v>51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1</v>
      </c>
      <c r="J38" s="174">
        <v>0</v>
      </c>
      <c r="K38" s="174">
        <f t="shared" si="2"/>
        <v>1</v>
      </c>
      <c r="L38" s="174">
        <f t="shared" si="3"/>
        <v>0</v>
      </c>
      <c r="M38" s="266">
        <f>NPA_PS_14!N38</f>
        <v>162.91</v>
      </c>
      <c r="N38" s="266">
        <f t="shared" si="0"/>
        <v>162.91</v>
      </c>
      <c r="O38" s="267">
        <f>NPA_13!D38</f>
        <v>162.91</v>
      </c>
      <c r="P38" s="266">
        <f t="shared" si="1"/>
        <v>0</v>
      </c>
      <c r="Q38" s="266"/>
      <c r="R38" s="266"/>
    </row>
    <row r="39" spans="1:18" ht="15" customHeight="1" x14ac:dyDescent="0.2">
      <c r="A39" s="131">
        <v>33</v>
      </c>
      <c r="B39" s="150" t="s">
        <v>217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f t="shared" si="2"/>
        <v>0</v>
      </c>
      <c r="L39" s="174">
        <f t="shared" si="3"/>
        <v>0</v>
      </c>
      <c r="M39" s="266">
        <f>NPA_PS_14!N39</f>
        <v>0</v>
      </c>
      <c r="N39" s="266">
        <f t="shared" si="0"/>
        <v>0</v>
      </c>
      <c r="O39" s="267">
        <f>NPA_13!D39</f>
        <v>0</v>
      </c>
      <c r="P39" s="266">
        <f t="shared" si="1"/>
        <v>0</v>
      </c>
      <c r="Q39" s="266"/>
      <c r="R39" s="266"/>
    </row>
    <row r="40" spans="1:18" ht="15" customHeight="1" x14ac:dyDescent="0.2">
      <c r="A40" s="131">
        <v>34</v>
      </c>
      <c r="B40" s="150" t="s">
        <v>218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f t="shared" si="2"/>
        <v>0</v>
      </c>
      <c r="L40" s="174">
        <f t="shared" si="3"/>
        <v>0</v>
      </c>
      <c r="M40" s="266">
        <f>NPA_PS_14!N40</f>
        <v>0</v>
      </c>
      <c r="N40" s="266">
        <f t="shared" si="0"/>
        <v>0</v>
      </c>
      <c r="O40" s="267">
        <f>NPA_13!D40</f>
        <v>0</v>
      </c>
      <c r="P40" s="266">
        <f t="shared" si="1"/>
        <v>0</v>
      </c>
      <c r="Q40" s="266"/>
      <c r="R40" s="266"/>
    </row>
    <row r="41" spans="1:18" ht="15" customHeight="1" x14ac:dyDescent="0.2">
      <c r="A41" s="131">
        <v>35</v>
      </c>
      <c r="B41" s="150" t="s">
        <v>219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10</v>
      </c>
      <c r="J41" s="174">
        <v>1139.32</v>
      </c>
      <c r="K41" s="174">
        <f t="shared" si="2"/>
        <v>10</v>
      </c>
      <c r="L41" s="174">
        <f t="shared" si="3"/>
        <v>1139.32</v>
      </c>
      <c r="M41" s="266">
        <f>NPA_PS_14!N41</f>
        <v>45.49</v>
      </c>
      <c r="N41" s="266">
        <f t="shared" si="0"/>
        <v>1184.81</v>
      </c>
      <c r="O41" s="267">
        <f>NPA_13!D41</f>
        <v>1184.81</v>
      </c>
      <c r="P41" s="266">
        <f t="shared" si="1"/>
        <v>0</v>
      </c>
      <c r="Q41" s="266"/>
      <c r="R41" s="266"/>
    </row>
    <row r="42" spans="1:18" ht="15" customHeight="1" x14ac:dyDescent="0.2">
      <c r="A42" s="131">
        <v>36</v>
      </c>
      <c r="B42" s="150" t="s">
        <v>71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4885</v>
      </c>
      <c r="J42" s="174">
        <v>7999</v>
      </c>
      <c r="K42" s="174">
        <f t="shared" si="2"/>
        <v>4885</v>
      </c>
      <c r="L42" s="174">
        <f t="shared" si="3"/>
        <v>7999</v>
      </c>
      <c r="M42" s="266">
        <f>NPA_PS_14!N42</f>
        <v>13232</v>
      </c>
      <c r="N42" s="266">
        <f t="shared" si="0"/>
        <v>21231</v>
      </c>
      <c r="O42" s="267">
        <f>NPA_13!D42</f>
        <v>21231</v>
      </c>
      <c r="P42" s="266">
        <f t="shared" si="1"/>
        <v>0</v>
      </c>
      <c r="Q42" s="266"/>
      <c r="R42" s="266"/>
    </row>
    <row r="43" spans="1:18" ht="15" customHeight="1" x14ac:dyDescent="0.2">
      <c r="A43" s="131">
        <v>37</v>
      </c>
      <c r="B43" s="150" t="s">
        <v>72</v>
      </c>
      <c r="C43" s="174">
        <v>3</v>
      </c>
      <c r="D43" s="174">
        <v>963</v>
      </c>
      <c r="E43" s="174">
        <v>109</v>
      </c>
      <c r="F43" s="174">
        <v>849</v>
      </c>
      <c r="G43" s="174">
        <v>0</v>
      </c>
      <c r="H43" s="174">
        <v>0</v>
      </c>
      <c r="I43" s="174">
        <v>2643</v>
      </c>
      <c r="J43" s="174">
        <v>16207</v>
      </c>
      <c r="K43" s="174">
        <f t="shared" si="2"/>
        <v>2755</v>
      </c>
      <c r="L43" s="174">
        <f t="shared" si="3"/>
        <v>18019</v>
      </c>
      <c r="M43" s="266">
        <f>NPA_PS_14!N43</f>
        <v>10187</v>
      </c>
      <c r="N43" s="266">
        <f t="shared" si="0"/>
        <v>28206</v>
      </c>
      <c r="O43" s="267">
        <f>NPA_13!D43</f>
        <v>28206</v>
      </c>
      <c r="P43" s="266">
        <f t="shared" si="1"/>
        <v>0</v>
      </c>
      <c r="Q43" s="266"/>
      <c r="R43" s="266"/>
    </row>
    <row r="44" spans="1:18" ht="15" customHeight="1" x14ac:dyDescent="0.2">
      <c r="A44" s="131">
        <v>38</v>
      </c>
      <c r="B44" s="150" t="s">
        <v>220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f t="shared" si="2"/>
        <v>0</v>
      </c>
      <c r="L44" s="174">
        <f t="shared" si="3"/>
        <v>0</v>
      </c>
      <c r="M44" s="266">
        <f>NPA_PS_14!N44</f>
        <v>16.11</v>
      </c>
      <c r="N44" s="266">
        <f t="shared" si="0"/>
        <v>16.11</v>
      </c>
      <c r="O44" s="267">
        <f>NPA_13!D44</f>
        <v>16</v>
      </c>
      <c r="P44" s="266">
        <f t="shared" si="1"/>
        <v>0.10999999999999943</v>
      </c>
      <c r="Q44" s="266"/>
      <c r="R44" s="266"/>
    </row>
    <row r="45" spans="1:18" ht="15" customHeight="1" x14ac:dyDescent="0.2">
      <c r="A45" s="131">
        <v>39</v>
      </c>
      <c r="B45" s="150" t="s">
        <v>221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1898</v>
      </c>
      <c r="J45" s="174">
        <v>601</v>
      </c>
      <c r="K45" s="174">
        <f t="shared" si="2"/>
        <v>1898</v>
      </c>
      <c r="L45" s="174">
        <f t="shared" si="3"/>
        <v>601</v>
      </c>
      <c r="M45" s="266">
        <f>NPA_PS_14!N45</f>
        <v>1538</v>
      </c>
      <c r="N45" s="266">
        <f t="shared" si="0"/>
        <v>2139</v>
      </c>
      <c r="O45" s="267">
        <f>NPA_13!D45</f>
        <v>2139</v>
      </c>
      <c r="P45" s="266">
        <f t="shared" si="1"/>
        <v>0</v>
      </c>
      <c r="Q45" s="266"/>
      <c r="R45" s="266"/>
    </row>
    <row r="46" spans="1:18" ht="15" customHeight="1" x14ac:dyDescent="0.2">
      <c r="A46" s="131">
        <v>40</v>
      </c>
      <c r="B46" s="150" t="s">
        <v>222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f t="shared" si="2"/>
        <v>0</v>
      </c>
      <c r="L46" s="174">
        <f t="shared" si="3"/>
        <v>0</v>
      </c>
      <c r="M46" s="266">
        <f>NPA_PS_14!N46</f>
        <v>229</v>
      </c>
      <c r="N46" s="266">
        <f t="shared" si="0"/>
        <v>229</v>
      </c>
      <c r="O46" s="267">
        <f>NPA_13!D46</f>
        <v>229</v>
      </c>
      <c r="P46" s="266">
        <f t="shared" si="1"/>
        <v>0</v>
      </c>
      <c r="Q46" s="266"/>
      <c r="R46" s="266"/>
    </row>
    <row r="47" spans="1:18" ht="15" customHeight="1" x14ac:dyDescent="0.2">
      <c r="A47" s="131">
        <v>41</v>
      </c>
      <c r="B47" s="150" t="s">
        <v>223</v>
      </c>
      <c r="C47" s="174">
        <v>0</v>
      </c>
      <c r="D47" s="174">
        <v>0</v>
      </c>
      <c r="E47" s="174">
        <v>2</v>
      </c>
      <c r="F47" s="174">
        <v>93</v>
      </c>
      <c r="G47" s="174">
        <v>0</v>
      </c>
      <c r="H47" s="174">
        <v>0</v>
      </c>
      <c r="I47" s="174">
        <v>5</v>
      </c>
      <c r="J47" s="174">
        <v>382</v>
      </c>
      <c r="K47" s="174">
        <f t="shared" si="2"/>
        <v>7</v>
      </c>
      <c r="L47" s="174">
        <f t="shared" si="3"/>
        <v>475</v>
      </c>
      <c r="M47" s="266">
        <f>NPA_PS_14!N47</f>
        <v>566</v>
      </c>
      <c r="N47" s="266">
        <f t="shared" si="0"/>
        <v>1041</v>
      </c>
      <c r="O47" s="267">
        <f>NPA_13!D47</f>
        <v>1040.58</v>
      </c>
      <c r="P47" s="266">
        <f t="shared" si="1"/>
        <v>0.42000000000007276</v>
      </c>
      <c r="Q47" s="266"/>
      <c r="R47" s="266"/>
    </row>
    <row r="48" spans="1:18" ht="15" customHeight="1" x14ac:dyDescent="0.2">
      <c r="A48" s="131">
        <v>42</v>
      </c>
      <c r="B48" s="155" t="s">
        <v>224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f t="shared" si="2"/>
        <v>0</v>
      </c>
      <c r="L48" s="174">
        <f t="shared" si="3"/>
        <v>0</v>
      </c>
      <c r="M48" s="266">
        <f>NPA_PS_14!N48</f>
        <v>0</v>
      </c>
      <c r="N48" s="266">
        <f t="shared" si="0"/>
        <v>0</v>
      </c>
      <c r="O48" s="267">
        <f>NPA_13!D48</f>
        <v>0</v>
      </c>
      <c r="P48" s="266">
        <f t="shared" si="1"/>
        <v>0</v>
      </c>
      <c r="Q48" s="266"/>
      <c r="R48" s="266"/>
    </row>
    <row r="49" spans="1:18" ht="15" customHeight="1" x14ac:dyDescent="0.2">
      <c r="A49" s="131">
        <v>43</v>
      </c>
      <c r="B49" s="150" t="s">
        <v>73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70</v>
      </c>
      <c r="J49" s="174">
        <v>218</v>
      </c>
      <c r="K49" s="174">
        <f t="shared" si="2"/>
        <v>70</v>
      </c>
      <c r="L49" s="174">
        <f t="shared" si="3"/>
        <v>218</v>
      </c>
      <c r="M49" s="266">
        <f>NPA_PS_14!N49</f>
        <v>4377</v>
      </c>
      <c r="N49" s="266">
        <f t="shared" si="0"/>
        <v>4595</v>
      </c>
      <c r="O49" s="267">
        <f>NPA_13!D49</f>
        <v>4595</v>
      </c>
      <c r="P49" s="266">
        <f t="shared" si="1"/>
        <v>0</v>
      </c>
      <c r="Q49" s="266"/>
      <c r="R49" s="266"/>
    </row>
    <row r="50" spans="1:18" ht="15" customHeight="1" x14ac:dyDescent="0.2">
      <c r="A50" s="131">
        <v>44</v>
      </c>
      <c r="B50" s="150" t="s">
        <v>225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f t="shared" si="2"/>
        <v>0</v>
      </c>
      <c r="L50" s="174">
        <f t="shared" si="3"/>
        <v>0</v>
      </c>
      <c r="M50" s="266">
        <f>NPA_PS_14!N50</f>
        <v>25</v>
      </c>
      <c r="N50" s="266">
        <f t="shared" si="0"/>
        <v>25</v>
      </c>
      <c r="O50" s="267">
        <f>NPA_13!D50</f>
        <v>25</v>
      </c>
      <c r="P50" s="266">
        <f t="shared" si="1"/>
        <v>0</v>
      </c>
      <c r="Q50" s="266"/>
      <c r="R50" s="266"/>
    </row>
    <row r="51" spans="1:18" ht="15" customHeight="1" x14ac:dyDescent="0.2">
      <c r="A51" s="131">
        <v>45</v>
      </c>
      <c r="B51" s="150" t="s">
        <v>226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f t="shared" si="2"/>
        <v>0</v>
      </c>
      <c r="L51" s="174">
        <f t="shared" si="3"/>
        <v>0</v>
      </c>
      <c r="M51" s="266">
        <f>NPA_PS_14!N51</f>
        <v>137.4</v>
      </c>
      <c r="N51" s="266">
        <f t="shared" si="0"/>
        <v>137.4</v>
      </c>
      <c r="O51" s="267">
        <f>NPA_13!D51</f>
        <v>137.4</v>
      </c>
      <c r="P51" s="266">
        <f t="shared" si="1"/>
        <v>0</v>
      </c>
      <c r="Q51" s="266"/>
      <c r="R51" s="266"/>
    </row>
    <row r="52" spans="1:18" ht="15" customHeight="1" x14ac:dyDescent="0.2">
      <c r="A52" s="131">
        <v>46</v>
      </c>
      <c r="B52" s="150" t="s">
        <v>227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f t="shared" si="2"/>
        <v>0</v>
      </c>
      <c r="L52" s="174">
        <f t="shared" si="3"/>
        <v>0</v>
      </c>
      <c r="M52" s="266">
        <f>NPA_PS_14!N52</f>
        <v>0</v>
      </c>
      <c r="N52" s="266">
        <f t="shared" si="0"/>
        <v>0</v>
      </c>
      <c r="O52" s="267">
        <f>NPA_13!D52</f>
        <v>0</v>
      </c>
      <c r="P52" s="266">
        <f t="shared" si="1"/>
        <v>0</v>
      </c>
      <c r="Q52" s="266"/>
      <c r="R52" s="266"/>
    </row>
    <row r="53" spans="1:18" ht="15" customHeight="1" x14ac:dyDescent="0.2">
      <c r="A53" s="131">
        <v>47</v>
      </c>
      <c r="B53" s="150" t="s">
        <v>77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f t="shared" si="2"/>
        <v>0</v>
      </c>
      <c r="L53" s="174">
        <f t="shared" si="3"/>
        <v>0</v>
      </c>
      <c r="M53" s="266">
        <f>NPA_PS_14!N53</f>
        <v>0</v>
      </c>
      <c r="N53" s="266">
        <f t="shared" si="0"/>
        <v>0</v>
      </c>
      <c r="O53" s="267">
        <f>NPA_13!D53</f>
        <v>0</v>
      </c>
      <c r="P53" s="266">
        <f t="shared" si="1"/>
        <v>0</v>
      </c>
      <c r="Q53" s="266"/>
      <c r="R53" s="266"/>
    </row>
    <row r="54" spans="1:18" ht="15" customHeight="1" x14ac:dyDescent="0.2">
      <c r="A54" s="131">
        <v>48</v>
      </c>
      <c r="B54" s="150" t="s">
        <v>228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f t="shared" si="2"/>
        <v>0</v>
      </c>
      <c r="L54" s="174">
        <f t="shared" si="3"/>
        <v>0</v>
      </c>
      <c r="M54" s="266">
        <f>NPA_PS_14!N54</f>
        <v>0</v>
      </c>
      <c r="N54" s="266">
        <f t="shared" si="0"/>
        <v>0</v>
      </c>
      <c r="O54" s="267">
        <f>NPA_13!D54</f>
        <v>0</v>
      </c>
      <c r="P54" s="266">
        <f t="shared" si="1"/>
        <v>0</v>
      </c>
      <c r="Q54" s="266"/>
      <c r="R54" s="266"/>
    </row>
    <row r="55" spans="1:18" ht="15" customHeight="1" x14ac:dyDescent="0.2">
      <c r="A55" s="131">
        <v>49</v>
      </c>
      <c r="B55" s="150" t="s">
        <v>76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f t="shared" si="2"/>
        <v>0</v>
      </c>
      <c r="L55" s="174">
        <f t="shared" si="3"/>
        <v>0</v>
      </c>
      <c r="M55" s="266">
        <f>NPA_PS_14!N55</f>
        <v>738</v>
      </c>
      <c r="N55" s="266">
        <f t="shared" si="0"/>
        <v>738</v>
      </c>
      <c r="O55" s="267">
        <f>NPA_13!D55</f>
        <v>738</v>
      </c>
      <c r="P55" s="266">
        <f t="shared" si="1"/>
        <v>0</v>
      </c>
      <c r="Q55" s="266"/>
      <c r="R55" s="266"/>
    </row>
    <row r="56" spans="1:18" s="265" customFormat="1" ht="15" customHeight="1" x14ac:dyDescent="0.2">
      <c r="A56" s="131"/>
      <c r="B56" s="153" t="s">
        <v>289</v>
      </c>
      <c r="C56" s="176">
        <f>SUM(C34:C55)</f>
        <v>3</v>
      </c>
      <c r="D56" s="176">
        <f t="shared" ref="D56:L56" si="7">SUM(D34:D55)</f>
        <v>963</v>
      </c>
      <c r="E56" s="176">
        <f t="shared" si="7"/>
        <v>111</v>
      </c>
      <c r="F56" s="176">
        <f t="shared" si="7"/>
        <v>942</v>
      </c>
      <c r="G56" s="176">
        <f t="shared" si="7"/>
        <v>0</v>
      </c>
      <c r="H56" s="176">
        <f t="shared" si="7"/>
        <v>0</v>
      </c>
      <c r="I56" s="176">
        <f t="shared" si="7"/>
        <v>10268</v>
      </c>
      <c r="J56" s="176">
        <f t="shared" si="7"/>
        <v>35229.440000000002</v>
      </c>
      <c r="K56" s="176">
        <f t="shared" si="7"/>
        <v>10382</v>
      </c>
      <c r="L56" s="176">
        <f t="shared" si="7"/>
        <v>37134.44</v>
      </c>
      <c r="M56" s="266">
        <f>NPA_PS_14!N56</f>
        <v>35051.96</v>
      </c>
      <c r="N56" s="266">
        <f t="shared" si="0"/>
        <v>72186.399999999994</v>
      </c>
      <c r="O56" s="267">
        <f>NPA_13!D56</f>
        <v>72185.7</v>
      </c>
      <c r="P56" s="268">
        <f t="shared" si="1"/>
        <v>0.69999999999708962</v>
      </c>
      <c r="Q56" s="268"/>
      <c r="R56" s="268"/>
    </row>
    <row r="57" spans="1:18" ht="15" customHeight="1" x14ac:dyDescent="0.2">
      <c r="A57" s="131">
        <v>50</v>
      </c>
      <c r="B57" s="150" t="s">
        <v>46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6793</v>
      </c>
      <c r="J57" s="174">
        <v>3093.59</v>
      </c>
      <c r="K57" s="174">
        <f t="shared" si="2"/>
        <v>6793</v>
      </c>
      <c r="L57" s="174">
        <f t="shared" si="3"/>
        <v>3093.59</v>
      </c>
      <c r="M57" s="266">
        <f>NPA_PS_14!N57</f>
        <v>44666.9</v>
      </c>
      <c r="N57" s="266">
        <f t="shared" si="0"/>
        <v>47760.490000000005</v>
      </c>
      <c r="O57" s="267">
        <f>NPA_13!D57</f>
        <v>47760.49</v>
      </c>
      <c r="P57" s="266">
        <f t="shared" si="1"/>
        <v>0</v>
      </c>
      <c r="Q57" s="266"/>
      <c r="R57" s="266"/>
    </row>
    <row r="58" spans="1:18" ht="15" customHeight="1" x14ac:dyDescent="0.2">
      <c r="A58" s="131">
        <v>51</v>
      </c>
      <c r="B58" s="132" t="s">
        <v>229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4207</v>
      </c>
      <c r="J58" s="174">
        <v>1422</v>
      </c>
      <c r="K58" s="174">
        <f t="shared" si="2"/>
        <v>4207</v>
      </c>
      <c r="L58" s="174">
        <f t="shared" si="3"/>
        <v>1422</v>
      </c>
      <c r="M58" s="266">
        <f>NPA_PS_14!N58</f>
        <v>50880</v>
      </c>
      <c r="N58" s="266">
        <f t="shared" si="0"/>
        <v>52302</v>
      </c>
      <c r="O58" s="267">
        <f>NPA_13!D58</f>
        <v>52302</v>
      </c>
      <c r="P58" s="266">
        <f t="shared" si="1"/>
        <v>0</v>
      </c>
      <c r="Q58" s="266"/>
      <c r="R58" s="266"/>
    </row>
    <row r="59" spans="1:18" ht="13.5" x14ac:dyDescent="0.2">
      <c r="A59" s="131">
        <v>52</v>
      </c>
      <c r="B59" s="174" t="s">
        <v>52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681</v>
      </c>
      <c r="J59" s="174">
        <v>341.46</v>
      </c>
      <c r="K59" s="174">
        <f t="shared" si="2"/>
        <v>681</v>
      </c>
      <c r="L59" s="174">
        <f t="shared" si="3"/>
        <v>341.46</v>
      </c>
      <c r="M59" s="266">
        <f>NPA_PS_14!N59</f>
        <v>14243.659999999998</v>
      </c>
      <c r="N59" s="266">
        <f t="shared" ref="N59:N63" si="8">L59+M59</f>
        <v>14585.119999999997</v>
      </c>
      <c r="O59" s="267">
        <f>NPA_13!D59</f>
        <v>14585.12</v>
      </c>
      <c r="P59" s="266">
        <f t="shared" ref="P59:P63" si="9">N59-O59</f>
        <v>0</v>
      </c>
      <c r="Q59" s="266"/>
      <c r="R59" s="266"/>
    </row>
    <row r="60" spans="1:18" s="265" customFormat="1" ht="13.5" x14ac:dyDescent="0.2">
      <c r="A60" s="131"/>
      <c r="B60" s="176" t="s">
        <v>298</v>
      </c>
      <c r="C60" s="176">
        <f>SUM(C57:C59)</f>
        <v>0</v>
      </c>
      <c r="D60" s="176">
        <f t="shared" ref="D60:L60" si="10">SUM(D57:D59)</f>
        <v>0</v>
      </c>
      <c r="E60" s="176">
        <f t="shared" si="10"/>
        <v>0</v>
      </c>
      <c r="F60" s="176">
        <f t="shared" si="10"/>
        <v>0</v>
      </c>
      <c r="G60" s="176">
        <f t="shared" si="10"/>
        <v>0</v>
      </c>
      <c r="H60" s="176">
        <f t="shared" si="10"/>
        <v>0</v>
      </c>
      <c r="I60" s="176">
        <f t="shared" si="10"/>
        <v>11681</v>
      </c>
      <c r="J60" s="176">
        <f t="shared" si="10"/>
        <v>4857.05</v>
      </c>
      <c r="K60" s="176">
        <f t="shared" si="10"/>
        <v>11681</v>
      </c>
      <c r="L60" s="176">
        <f t="shared" si="10"/>
        <v>4857.05</v>
      </c>
      <c r="M60" s="266">
        <f>NPA_PS_14!N60</f>
        <v>109790.56</v>
      </c>
      <c r="N60" s="266">
        <f t="shared" si="8"/>
        <v>114647.61</v>
      </c>
      <c r="O60" s="267">
        <f>NPA_13!D60</f>
        <v>114647.60999999999</v>
      </c>
      <c r="P60" s="266">
        <f t="shared" si="9"/>
        <v>0</v>
      </c>
      <c r="Q60" s="268"/>
      <c r="R60" s="268"/>
    </row>
    <row r="61" spans="1:18" ht="13.5" x14ac:dyDescent="0.2">
      <c r="A61" s="131">
        <v>53</v>
      </c>
      <c r="B61" s="174" t="s">
        <v>290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f t="shared" si="2"/>
        <v>0</v>
      </c>
      <c r="L61" s="174">
        <f t="shared" si="3"/>
        <v>0</v>
      </c>
      <c r="M61" s="266">
        <f>NPA_PS_14!N61</f>
        <v>270486</v>
      </c>
      <c r="N61" s="266">
        <f t="shared" si="8"/>
        <v>270486</v>
      </c>
      <c r="O61" s="267">
        <f>NPA_13!D61</f>
        <v>270486</v>
      </c>
      <c r="P61" s="266">
        <f t="shared" si="9"/>
        <v>0</v>
      </c>
      <c r="Q61" s="266"/>
      <c r="R61" s="266"/>
    </row>
    <row r="62" spans="1:18" s="265" customFormat="1" ht="15" customHeight="1" x14ac:dyDescent="0.2">
      <c r="A62" s="131"/>
      <c r="B62" s="176" t="s">
        <v>291</v>
      </c>
      <c r="C62" s="176">
        <f>C61</f>
        <v>0</v>
      </c>
      <c r="D62" s="176">
        <f t="shared" ref="D62:L62" si="11">D61</f>
        <v>0</v>
      </c>
      <c r="E62" s="176">
        <f t="shared" si="11"/>
        <v>0</v>
      </c>
      <c r="F62" s="176">
        <f t="shared" si="11"/>
        <v>0</v>
      </c>
      <c r="G62" s="176">
        <f t="shared" si="11"/>
        <v>0</v>
      </c>
      <c r="H62" s="176">
        <f t="shared" si="11"/>
        <v>0</v>
      </c>
      <c r="I62" s="176">
        <f t="shared" si="11"/>
        <v>0</v>
      </c>
      <c r="J62" s="176">
        <f t="shared" si="11"/>
        <v>0</v>
      </c>
      <c r="K62" s="176">
        <f t="shared" si="11"/>
        <v>0</v>
      </c>
      <c r="L62" s="176">
        <f t="shared" si="11"/>
        <v>0</v>
      </c>
      <c r="M62" s="266">
        <f>NPA_PS_14!N62</f>
        <v>270486</v>
      </c>
      <c r="N62" s="266">
        <f t="shared" si="8"/>
        <v>270486</v>
      </c>
      <c r="O62" s="267">
        <f>NPA_13!D62</f>
        <v>270486</v>
      </c>
      <c r="P62" s="266">
        <f t="shared" si="9"/>
        <v>0</v>
      </c>
      <c r="Q62" s="268"/>
      <c r="R62" s="268"/>
    </row>
    <row r="63" spans="1:18" s="266" customFormat="1" ht="15" customHeight="1" x14ac:dyDescent="0.2">
      <c r="A63" s="174"/>
      <c r="B63" s="172" t="s">
        <v>292</v>
      </c>
      <c r="C63" s="176">
        <f>C62+C60+C56+C33</f>
        <v>4354</v>
      </c>
      <c r="D63" s="176">
        <f t="shared" ref="D63:L63" si="12">D62+D60+D56+D33</f>
        <v>97115.03</v>
      </c>
      <c r="E63" s="176">
        <f t="shared" si="12"/>
        <v>1706</v>
      </c>
      <c r="F63" s="176">
        <f t="shared" si="12"/>
        <v>14937.58</v>
      </c>
      <c r="G63" s="176">
        <f t="shared" si="12"/>
        <v>1866</v>
      </c>
      <c r="H63" s="176">
        <f t="shared" si="12"/>
        <v>5358</v>
      </c>
      <c r="I63" s="176">
        <f t="shared" si="12"/>
        <v>48013</v>
      </c>
      <c r="J63" s="176">
        <f t="shared" si="12"/>
        <v>339661.41</v>
      </c>
      <c r="K63" s="176">
        <f t="shared" si="12"/>
        <v>55939</v>
      </c>
      <c r="L63" s="176">
        <f t="shared" si="12"/>
        <v>457072.02</v>
      </c>
      <c r="M63" s="266">
        <f>NPA_PS_14!N63</f>
        <v>1037493.99</v>
      </c>
      <c r="N63" s="266">
        <f t="shared" si="8"/>
        <v>1494566.01</v>
      </c>
      <c r="O63" s="267">
        <f>NPA_13!D63</f>
        <v>1494565.58</v>
      </c>
      <c r="P63" s="266">
        <f t="shared" si="9"/>
        <v>0.42999999993480742</v>
      </c>
    </row>
    <row r="64" spans="1:18" x14ac:dyDescent="0.2">
      <c r="C64" s="416" t="s">
        <v>1227</v>
      </c>
    </row>
    <row r="65" spans="3:12" hidden="1" x14ac:dyDescent="0.2">
      <c r="C65" s="5">
        <v>5983</v>
      </c>
      <c r="D65" s="5">
        <v>77037.070000000007</v>
      </c>
      <c r="E65" s="5">
        <v>1319</v>
      </c>
      <c r="F65" s="5">
        <v>6803.06</v>
      </c>
      <c r="G65" s="5">
        <v>2121</v>
      </c>
      <c r="H65" s="5">
        <v>5691</v>
      </c>
      <c r="I65" s="5">
        <v>29659</v>
      </c>
      <c r="J65" s="5">
        <v>177190.69999999995</v>
      </c>
      <c r="K65" s="5">
        <v>39082</v>
      </c>
      <c r="L65" s="5">
        <v>266721.83</v>
      </c>
    </row>
    <row r="66" spans="3:12" hidden="1" x14ac:dyDescent="0.2"/>
    <row r="67" spans="3:12" hidden="1" x14ac:dyDescent="0.2">
      <c r="D67" s="5">
        <f t="shared" ref="D67:L67" si="13">D63-D65</f>
        <v>20077.959999999992</v>
      </c>
      <c r="F67" s="5">
        <f t="shared" si="13"/>
        <v>8134.5199999999995</v>
      </c>
      <c r="H67" s="5">
        <f t="shared" si="13"/>
        <v>-333</v>
      </c>
      <c r="J67" s="5">
        <f t="shared" si="13"/>
        <v>162470.71000000002</v>
      </c>
      <c r="K67" s="5">
        <f t="shared" si="13"/>
        <v>16857</v>
      </c>
      <c r="L67" s="5">
        <f t="shared" si="13"/>
        <v>190350.19</v>
      </c>
    </row>
    <row r="68" spans="3:12" hidden="1" x14ac:dyDescent="0.2"/>
    <row r="69" spans="3:12" hidden="1" x14ac:dyDescent="0.2"/>
  </sheetData>
  <mergeCells count="10">
    <mergeCell ref="A1:L1"/>
    <mergeCell ref="A2:L2"/>
    <mergeCell ref="K4:L4"/>
    <mergeCell ref="E4:F4"/>
    <mergeCell ref="G4:H4"/>
    <mergeCell ref="I4:J4"/>
    <mergeCell ref="I3:J3"/>
    <mergeCell ref="A4:A5"/>
    <mergeCell ref="B4:B5"/>
    <mergeCell ref="C4:D4"/>
  </mergeCells>
  <conditionalFormatting sqref="I3">
    <cfRule type="cellIs" dxfId="79" priority="7" operator="lessThan">
      <formula>0</formula>
    </cfRule>
  </conditionalFormatting>
  <conditionalFormatting sqref="B21">
    <cfRule type="duplicateValues" dxfId="78" priority="2"/>
  </conditionalFormatting>
  <conditionalFormatting sqref="B32:B33 B25:B29">
    <cfRule type="duplicateValues" dxfId="77" priority="3"/>
  </conditionalFormatting>
  <conditionalFormatting sqref="B51">
    <cfRule type="duplicateValues" dxfId="76" priority="4"/>
  </conditionalFormatting>
  <conditionalFormatting sqref="B55">
    <cfRule type="duplicateValues" dxfId="75" priority="5"/>
  </conditionalFormatting>
  <conditionalFormatting sqref="B57">
    <cfRule type="duplicateValues" dxfId="74" priority="6"/>
  </conditionalFormatting>
  <pageMargins left="0.7" right="0.45" top="0.25" bottom="0.25" header="0.3" footer="0.3"/>
  <pageSetup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70"/>
  <sheetViews>
    <sheetView view="pageBreakPreview" zoomScale="60" zoomScaleNormal="106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P74" sqref="P74"/>
    </sheetView>
  </sheetViews>
  <sheetFormatPr defaultRowHeight="12.75" x14ac:dyDescent="0.2"/>
  <cols>
    <col min="1" max="1" width="4.28515625" style="4" customWidth="1"/>
    <col min="2" max="2" width="24.42578125" style="4" bestFit="1" customWidth="1"/>
    <col min="3" max="3" width="8.42578125" style="5" bestFit="1" customWidth="1"/>
    <col min="4" max="4" width="8.28515625" style="5" bestFit="1" customWidth="1"/>
    <col min="5" max="5" width="9" style="5" bestFit="1" customWidth="1"/>
    <col min="6" max="6" width="9.85546875" style="5" bestFit="1" customWidth="1"/>
    <col min="7" max="7" width="9" style="28" bestFit="1" customWidth="1"/>
    <col min="8" max="8" width="7.7109375" style="5" bestFit="1" customWidth="1"/>
    <col min="9" max="9" width="8" style="5" bestFit="1" customWidth="1"/>
    <col min="10" max="10" width="8.42578125" style="5" bestFit="1" customWidth="1"/>
    <col min="11" max="11" width="9.140625" style="5" bestFit="1" customWidth="1"/>
    <col min="12" max="12" width="9" style="28" bestFit="1" customWidth="1"/>
    <col min="13" max="13" width="9.140625" style="5" bestFit="1" customWidth="1"/>
    <col min="14" max="14" width="8.42578125" style="5" bestFit="1" customWidth="1"/>
    <col min="15" max="15" width="10.140625" style="5" bestFit="1" customWidth="1"/>
    <col min="16" max="16" width="10.5703125" style="5" bestFit="1" customWidth="1"/>
    <col min="17" max="17" width="7.7109375" style="28" bestFit="1" customWidth="1"/>
    <col min="18" max="18" width="8.28515625" style="5" bestFit="1" customWidth="1"/>
    <col min="19" max="19" width="8.28515625" style="5" customWidth="1"/>
    <col min="20" max="21" width="8.7109375" style="5" bestFit="1" customWidth="1"/>
    <col min="22" max="22" width="9.42578125" style="28" bestFit="1" customWidth="1"/>
    <col min="23" max="16384" width="9.140625" style="4"/>
  </cols>
  <sheetData>
    <row r="1" spans="1:24" ht="18.75" customHeight="1" x14ac:dyDescent="0.2">
      <c r="A1" s="536" t="s">
        <v>364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24" ht="15.75" x14ac:dyDescent="0.2">
      <c r="A2" s="537" t="s">
        <v>31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pans="1:24" ht="14.25" x14ac:dyDescent="0.2">
      <c r="A3" s="130"/>
      <c r="B3" s="2" t="s">
        <v>12</v>
      </c>
      <c r="C3" s="137"/>
      <c r="D3" s="26"/>
      <c r="E3" s="26"/>
      <c r="F3" s="26"/>
      <c r="G3" s="30"/>
      <c r="H3" s="26"/>
      <c r="I3" s="26"/>
      <c r="J3" s="520"/>
      <c r="K3" s="520"/>
      <c r="L3" s="345"/>
      <c r="M3" s="137"/>
      <c r="N3" s="524" t="s">
        <v>172</v>
      </c>
      <c r="O3" s="524"/>
      <c r="P3" s="181"/>
    </row>
    <row r="4" spans="1:24" ht="39.950000000000003" customHeight="1" x14ac:dyDescent="0.2">
      <c r="A4" s="538" t="s">
        <v>2</v>
      </c>
      <c r="B4" s="538" t="s">
        <v>3</v>
      </c>
      <c r="C4" s="465" t="s">
        <v>113</v>
      </c>
      <c r="D4" s="464"/>
      <c r="E4" s="465" t="s">
        <v>42</v>
      </c>
      <c r="F4" s="464"/>
      <c r="G4" s="543" t="s">
        <v>118</v>
      </c>
      <c r="H4" s="465" t="s">
        <v>114</v>
      </c>
      <c r="I4" s="464"/>
      <c r="J4" s="465" t="s">
        <v>41</v>
      </c>
      <c r="K4" s="464"/>
      <c r="L4" s="543" t="s">
        <v>118</v>
      </c>
      <c r="M4" s="465" t="s">
        <v>115</v>
      </c>
      <c r="N4" s="464"/>
      <c r="O4" s="465" t="s">
        <v>40</v>
      </c>
      <c r="P4" s="463"/>
      <c r="Q4" s="541" t="s">
        <v>97</v>
      </c>
      <c r="R4" s="465" t="s">
        <v>173</v>
      </c>
      <c r="S4" s="464"/>
      <c r="T4" s="465" t="s">
        <v>174</v>
      </c>
      <c r="U4" s="463"/>
      <c r="V4" s="541" t="s">
        <v>97</v>
      </c>
    </row>
    <row r="5" spans="1:24" x14ac:dyDescent="0.2">
      <c r="A5" s="539"/>
      <c r="B5" s="539"/>
      <c r="C5" s="346" t="s">
        <v>22</v>
      </c>
      <c r="D5" s="346" t="s">
        <v>23</v>
      </c>
      <c r="E5" s="346" t="s">
        <v>22</v>
      </c>
      <c r="F5" s="346" t="s">
        <v>23</v>
      </c>
      <c r="G5" s="544"/>
      <c r="H5" s="346" t="s">
        <v>22</v>
      </c>
      <c r="I5" s="346" t="s">
        <v>23</v>
      </c>
      <c r="J5" s="346" t="s">
        <v>22</v>
      </c>
      <c r="K5" s="346" t="s">
        <v>23</v>
      </c>
      <c r="L5" s="544"/>
      <c r="M5" s="346" t="s">
        <v>22</v>
      </c>
      <c r="N5" s="346" t="s">
        <v>23</v>
      </c>
      <c r="O5" s="346" t="s">
        <v>22</v>
      </c>
      <c r="P5" s="347" t="s">
        <v>23</v>
      </c>
      <c r="Q5" s="542"/>
      <c r="R5" s="346" t="s">
        <v>22</v>
      </c>
      <c r="S5" s="346" t="s">
        <v>23</v>
      </c>
      <c r="T5" s="346" t="s">
        <v>22</v>
      </c>
      <c r="U5" s="347" t="s">
        <v>23</v>
      </c>
      <c r="V5" s="542"/>
    </row>
    <row r="6" spans="1:24" ht="15" customHeight="1" x14ac:dyDescent="0.2">
      <c r="A6" s="57">
        <v>1</v>
      </c>
      <c r="B6" s="58" t="s">
        <v>55</v>
      </c>
      <c r="C6" s="174">
        <v>296</v>
      </c>
      <c r="D6" s="174">
        <v>485.56</v>
      </c>
      <c r="E6" s="174">
        <v>3948</v>
      </c>
      <c r="F6" s="174">
        <v>8764</v>
      </c>
      <c r="G6" s="277">
        <f>D6*100/F6</f>
        <v>5.5403925148334094</v>
      </c>
      <c r="H6" s="174">
        <v>138</v>
      </c>
      <c r="I6" s="174">
        <v>398.75</v>
      </c>
      <c r="J6" s="174">
        <v>862</v>
      </c>
      <c r="K6" s="174">
        <v>4834.47</v>
      </c>
      <c r="L6" s="277">
        <f>I6*100/K6</f>
        <v>8.2480602837539578</v>
      </c>
      <c r="M6" s="174">
        <v>976</v>
      </c>
      <c r="N6" s="174">
        <v>912.2</v>
      </c>
      <c r="O6" s="174">
        <v>9452</v>
      </c>
      <c r="P6" s="174">
        <v>7801.23</v>
      </c>
      <c r="Q6" s="277">
        <f>N6*100/P6</f>
        <v>11.693027894319229</v>
      </c>
      <c r="R6" s="174">
        <v>244</v>
      </c>
      <c r="S6" s="174">
        <v>105.8</v>
      </c>
      <c r="T6" s="174">
        <v>1520</v>
      </c>
      <c r="U6" s="174">
        <v>763.18</v>
      </c>
      <c r="V6" s="277">
        <f>S6*100/U6</f>
        <v>13.863046725543123</v>
      </c>
      <c r="W6" s="540"/>
      <c r="X6" s="540"/>
    </row>
    <row r="7" spans="1:24" ht="15" customHeight="1" x14ac:dyDescent="0.2">
      <c r="A7" s="57">
        <v>2</v>
      </c>
      <c r="B7" s="58" t="s">
        <v>56</v>
      </c>
      <c r="C7" s="174">
        <v>80</v>
      </c>
      <c r="D7" s="174">
        <v>89.52</v>
      </c>
      <c r="E7" s="174">
        <v>494</v>
      </c>
      <c r="F7" s="174">
        <v>592.01</v>
      </c>
      <c r="G7" s="277">
        <v>15.121366193138629</v>
      </c>
      <c r="H7" s="174">
        <v>5</v>
      </c>
      <c r="I7" s="174">
        <v>7.82</v>
      </c>
      <c r="J7" s="174">
        <v>21</v>
      </c>
      <c r="K7" s="174">
        <v>98.42</v>
      </c>
      <c r="L7" s="277">
        <v>7.9455395244868932</v>
      </c>
      <c r="M7" s="174">
        <v>0</v>
      </c>
      <c r="N7" s="174">
        <v>0</v>
      </c>
      <c r="O7" s="174">
        <v>0</v>
      </c>
      <c r="P7" s="174">
        <v>0</v>
      </c>
      <c r="Q7" s="277">
        <v>0</v>
      </c>
      <c r="R7" s="174">
        <v>0</v>
      </c>
      <c r="S7" s="174">
        <v>0</v>
      </c>
      <c r="T7" s="174">
        <v>0</v>
      </c>
      <c r="U7" s="174">
        <v>0</v>
      </c>
      <c r="V7" s="277">
        <v>0</v>
      </c>
      <c r="W7" s="540"/>
      <c r="X7" s="540"/>
    </row>
    <row r="8" spans="1:24" ht="15" customHeight="1" x14ac:dyDescent="0.2">
      <c r="A8" s="57">
        <v>3</v>
      </c>
      <c r="B8" s="58" t="s">
        <v>57</v>
      </c>
      <c r="C8" s="174">
        <v>212</v>
      </c>
      <c r="D8" s="174">
        <v>342.59</v>
      </c>
      <c r="E8" s="174">
        <v>1955</v>
      </c>
      <c r="F8" s="174">
        <v>6227</v>
      </c>
      <c r="G8" s="277">
        <v>5.5016862052352655</v>
      </c>
      <c r="H8" s="174">
        <v>235</v>
      </c>
      <c r="I8" s="174">
        <v>547.54999999999995</v>
      </c>
      <c r="J8" s="174">
        <v>1742</v>
      </c>
      <c r="K8" s="174">
        <v>4226</v>
      </c>
      <c r="L8" s="277">
        <v>12.956696639848557</v>
      </c>
      <c r="M8" s="174">
        <v>2523</v>
      </c>
      <c r="N8" s="174">
        <v>1507.17</v>
      </c>
      <c r="O8" s="174">
        <v>18823</v>
      </c>
      <c r="P8" s="174">
        <v>11234.95</v>
      </c>
      <c r="Q8" s="277">
        <v>13.415012972910427</v>
      </c>
      <c r="R8" s="174">
        <v>57</v>
      </c>
      <c r="S8" s="174">
        <v>136</v>
      </c>
      <c r="T8" s="174">
        <v>1236</v>
      </c>
      <c r="U8" s="174">
        <v>2755</v>
      </c>
      <c r="V8" s="277">
        <v>4.9364791288566243</v>
      </c>
      <c r="W8" s="540"/>
      <c r="X8" s="540"/>
    </row>
    <row r="9" spans="1:24" ht="15" customHeight="1" x14ac:dyDescent="0.2">
      <c r="A9" s="57">
        <v>4</v>
      </c>
      <c r="B9" s="58" t="s">
        <v>58</v>
      </c>
      <c r="C9" s="174">
        <v>341</v>
      </c>
      <c r="D9" s="174">
        <v>1681</v>
      </c>
      <c r="E9" s="174">
        <v>7255</v>
      </c>
      <c r="F9" s="174">
        <v>41372</v>
      </c>
      <c r="G9" s="277">
        <v>4.0631344870927197</v>
      </c>
      <c r="H9" s="174">
        <v>121</v>
      </c>
      <c r="I9" s="174">
        <v>592</v>
      </c>
      <c r="J9" s="174">
        <v>2046</v>
      </c>
      <c r="K9" s="174">
        <v>9746</v>
      </c>
      <c r="L9" s="277">
        <v>6.07428688692797</v>
      </c>
      <c r="M9" s="174">
        <v>2869</v>
      </c>
      <c r="N9" s="174">
        <v>1649</v>
      </c>
      <c r="O9" s="174">
        <v>65483</v>
      </c>
      <c r="P9" s="174">
        <v>44386</v>
      </c>
      <c r="Q9" s="277">
        <v>3.7151354030550174</v>
      </c>
      <c r="R9" s="174">
        <v>76</v>
      </c>
      <c r="S9" s="174">
        <v>74</v>
      </c>
      <c r="T9" s="174">
        <v>2469</v>
      </c>
      <c r="U9" s="174">
        <v>2829</v>
      </c>
      <c r="V9" s="277">
        <v>2.6157652880876636</v>
      </c>
      <c r="W9" s="540"/>
      <c r="X9" s="540"/>
    </row>
    <row r="10" spans="1:24" ht="15" customHeight="1" x14ac:dyDescent="0.2">
      <c r="A10" s="57">
        <v>5</v>
      </c>
      <c r="B10" s="58" t="s">
        <v>59</v>
      </c>
      <c r="C10" s="174">
        <v>401</v>
      </c>
      <c r="D10" s="174">
        <v>720</v>
      </c>
      <c r="E10" s="174">
        <v>3035</v>
      </c>
      <c r="F10" s="174">
        <v>15609</v>
      </c>
      <c r="G10" s="277">
        <v>4.6127234287910817</v>
      </c>
      <c r="H10" s="174">
        <v>113</v>
      </c>
      <c r="I10" s="174">
        <v>311</v>
      </c>
      <c r="J10" s="174">
        <v>626</v>
      </c>
      <c r="K10" s="174">
        <v>963</v>
      </c>
      <c r="L10" s="277">
        <v>32.294911734164067</v>
      </c>
      <c r="M10" s="174">
        <v>2536</v>
      </c>
      <c r="N10" s="174">
        <v>2336</v>
      </c>
      <c r="O10" s="174">
        <v>11523</v>
      </c>
      <c r="P10" s="174">
        <v>11521</v>
      </c>
      <c r="Q10" s="277">
        <v>20.276017706796285</v>
      </c>
      <c r="R10" s="174">
        <v>112</v>
      </c>
      <c r="S10" s="174">
        <v>199</v>
      </c>
      <c r="T10" s="174">
        <v>645</v>
      </c>
      <c r="U10" s="174">
        <v>618</v>
      </c>
      <c r="V10" s="277">
        <v>32.200647249190936</v>
      </c>
    </row>
    <row r="11" spans="1:24" ht="15" customHeight="1" x14ac:dyDescent="0.2">
      <c r="A11" s="57">
        <v>6</v>
      </c>
      <c r="B11" s="182" t="s">
        <v>242</v>
      </c>
      <c r="C11" s="174">
        <v>0</v>
      </c>
      <c r="D11" s="174">
        <v>0</v>
      </c>
      <c r="E11" s="174">
        <v>0</v>
      </c>
      <c r="F11" s="174">
        <v>0</v>
      </c>
      <c r="G11" s="277">
        <v>0</v>
      </c>
      <c r="H11" s="174">
        <v>0</v>
      </c>
      <c r="I11" s="174">
        <v>0</v>
      </c>
      <c r="J11" s="174">
        <v>0</v>
      </c>
      <c r="K11" s="174">
        <v>0</v>
      </c>
      <c r="L11" s="277">
        <v>0</v>
      </c>
      <c r="M11" s="174">
        <v>0</v>
      </c>
      <c r="N11" s="174">
        <v>0</v>
      </c>
      <c r="O11" s="174">
        <v>0</v>
      </c>
      <c r="P11" s="174">
        <v>0</v>
      </c>
      <c r="Q11" s="277">
        <v>0</v>
      </c>
      <c r="R11" s="174">
        <v>0</v>
      </c>
      <c r="S11" s="174">
        <v>0</v>
      </c>
      <c r="T11" s="174">
        <v>0</v>
      </c>
      <c r="U11" s="174">
        <v>0</v>
      </c>
      <c r="V11" s="277">
        <v>0</v>
      </c>
    </row>
    <row r="12" spans="1:24" ht="15" customHeight="1" x14ac:dyDescent="0.2">
      <c r="A12" s="57">
        <v>7</v>
      </c>
      <c r="B12" s="58" t="s">
        <v>60</v>
      </c>
      <c r="C12" s="174">
        <v>228</v>
      </c>
      <c r="D12" s="174">
        <v>98</v>
      </c>
      <c r="E12" s="174">
        <v>666</v>
      </c>
      <c r="F12" s="174">
        <v>502</v>
      </c>
      <c r="G12" s="277">
        <f t="shared" ref="G12:G63" si="0">D12*100/F12</f>
        <v>19.52191235059761</v>
      </c>
      <c r="H12" s="174">
        <v>72</v>
      </c>
      <c r="I12" s="174">
        <v>188</v>
      </c>
      <c r="J12" s="174">
        <v>289</v>
      </c>
      <c r="K12" s="174">
        <v>1517</v>
      </c>
      <c r="L12" s="277">
        <f t="shared" ref="L12:L63" si="1">I12*100/K12</f>
        <v>12.392880685563613</v>
      </c>
      <c r="M12" s="174">
        <v>0</v>
      </c>
      <c r="N12" s="174">
        <v>0</v>
      </c>
      <c r="O12" s="174">
        <v>0</v>
      </c>
      <c r="P12" s="174">
        <v>0</v>
      </c>
      <c r="Q12" s="277">
        <v>0</v>
      </c>
      <c r="R12" s="174">
        <v>0</v>
      </c>
      <c r="S12" s="174">
        <v>0</v>
      </c>
      <c r="T12" s="174">
        <v>618</v>
      </c>
      <c r="U12" s="174">
        <v>460</v>
      </c>
      <c r="V12" s="277">
        <f t="shared" ref="V12:V63" si="2">S12*100/U12</f>
        <v>0</v>
      </c>
    </row>
    <row r="13" spans="1:24" ht="15" customHeight="1" x14ac:dyDescent="0.2">
      <c r="A13" s="57">
        <v>8</v>
      </c>
      <c r="B13" s="58" t="s">
        <v>61</v>
      </c>
      <c r="C13" s="174">
        <f>3+919</f>
        <v>922</v>
      </c>
      <c r="D13" s="174">
        <f>55+900</f>
        <v>955</v>
      </c>
      <c r="E13" s="174">
        <f>347+10963</f>
        <v>11310</v>
      </c>
      <c r="F13" s="174">
        <f>11601+17322</f>
        <v>28923</v>
      </c>
      <c r="G13" s="277">
        <f t="shared" si="0"/>
        <v>3.301870483698095</v>
      </c>
      <c r="H13" s="174">
        <v>291</v>
      </c>
      <c r="I13" s="174">
        <v>563</v>
      </c>
      <c r="J13" s="174">
        <v>1822</v>
      </c>
      <c r="K13" s="174">
        <v>12031</v>
      </c>
      <c r="L13" s="277">
        <f t="shared" si="1"/>
        <v>4.6795777574598949</v>
      </c>
      <c r="M13" s="174">
        <v>8096</v>
      </c>
      <c r="N13" s="174">
        <v>4782</v>
      </c>
      <c r="O13" s="174">
        <v>85883</v>
      </c>
      <c r="P13" s="174">
        <v>63604</v>
      </c>
      <c r="Q13" s="277">
        <f t="shared" ref="Q13:Q63" si="3">N13*100/P13</f>
        <v>7.5183950694924846</v>
      </c>
      <c r="R13" s="174">
        <v>482</v>
      </c>
      <c r="S13" s="174">
        <v>185</v>
      </c>
      <c r="T13" s="174">
        <v>6328</v>
      </c>
      <c r="U13" s="174">
        <v>2407</v>
      </c>
      <c r="V13" s="277">
        <f t="shared" si="2"/>
        <v>7.6859160781055254</v>
      </c>
    </row>
    <row r="14" spans="1:24" ht="15" customHeight="1" x14ac:dyDescent="0.2">
      <c r="A14" s="57">
        <v>9</v>
      </c>
      <c r="B14" s="58" t="s">
        <v>48</v>
      </c>
      <c r="C14" s="174">
        <v>33</v>
      </c>
      <c r="D14" s="174">
        <v>10</v>
      </c>
      <c r="E14" s="174">
        <v>51</v>
      </c>
      <c r="F14" s="174">
        <v>32</v>
      </c>
      <c r="G14" s="277">
        <f t="shared" si="0"/>
        <v>31.25</v>
      </c>
      <c r="H14" s="174">
        <v>41</v>
      </c>
      <c r="I14" s="174">
        <v>184</v>
      </c>
      <c r="J14" s="174">
        <v>216</v>
      </c>
      <c r="K14" s="174">
        <v>1768</v>
      </c>
      <c r="L14" s="277">
        <f t="shared" si="1"/>
        <v>10.407239819004525</v>
      </c>
      <c r="M14" s="174">
        <v>0</v>
      </c>
      <c r="N14" s="174">
        <v>0</v>
      </c>
      <c r="O14" s="174">
        <v>0</v>
      </c>
      <c r="P14" s="174">
        <v>0</v>
      </c>
      <c r="Q14" s="277">
        <v>0</v>
      </c>
      <c r="R14" s="174">
        <v>0</v>
      </c>
      <c r="S14" s="174">
        <v>0</v>
      </c>
      <c r="T14" s="174">
        <v>17</v>
      </c>
      <c r="U14" s="174">
        <v>34</v>
      </c>
      <c r="V14" s="277">
        <f t="shared" si="2"/>
        <v>0</v>
      </c>
    </row>
    <row r="15" spans="1:24" ht="15" customHeight="1" x14ac:dyDescent="0.2">
      <c r="A15" s="57">
        <v>10</v>
      </c>
      <c r="B15" s="58" t="s">
        <v>49</v>
      </c>
      <c r="C15" s="174">
        <v>112</v>
      </c>
      <c r="D15" s="174">
        <v>158</v>
      </c>
      <c r="E15" s="174">
        <v>1375</v>
      </c>
      <c r="F15" s="174">
        <v>3112</v>
      </c>
      <c r="G15" s="277">
        <f t="shared" si="0"/>
        <v>5.0771208226221081</v>
      </c>
      <c r="H15" s="174">
        <v>62</v>
      </c>
      <c r="I15" s="174">
        <v>141</v>
      </c>
      <c r="J15" s="174">
        <v>222</v>
      </c>
      <c r="K15" s="174">
        <v>837</v>
      </c>
      <c r="L15" s="277">
        <f t="shared" si="1"/>
        <v>16.845878136200717</v>
      </c>
      <c r="M15" s="174">
        <v>0</v>
      </c>
      <c r="N15" s="174">
        <v>0</v>
      </c>
      <c r="O15" s="174">
        <v>0</v>
      </c>
      <c r="P15" s="174">
        <v>0</v>
      </c>
      <c r="Q15" s="277">
        <v>0</v>
      </c>
      <c r="R15" s="174">
        <v>52</v>
      </c>
      <c r="S15" s="174">
        <v>53</v>
      </c>
      <c r="T15" s="174">
        <v>83</v>
      </c>
      <c r="U15" s="174">
        <v>74</v>
      </c>
      <c r="V15" s="277">
        <f t="shared" si="2"/>
        <v>71.621621621621628</v>
      </c>
    </row>
    <row r="16" spans="1:24" ht="15" customHeight="1" x14ac:dyDescent="0.2">
      <c r="A16" s="57">
        <v>11</v>
      </c>
      <c r="B16" s="58" t="s">
        <v>81</v>
      </c>
      <c r="C16" s="174">
        <v>9</v>
      </c>
      <c r="D16" s="174">
        <v>14</v>
      </c>
      <c r="E16" s="174">
        <v>222</v>
      </c>
      <c r="F16" s="174">
        <v>775</v>
      </c>
      <c r="G16" s="277">
        <f t="shared" si="0"/>
        <v>1.8064516129032258</v>
      </c>
      <c r="H16" s="174">
        <v>44</v>
      </c>
      <c r="I16" s="174">
        <v>72</v>
      </c>
      <c r="J16" s="174">
        <v>73</v>
      </c>
      <c r="K16" s="174">
        <v>337</v>
      </c>
      <c r="L16" s="277">
        <f t="shared" si="1"/>
        <v>21.364985163204746</v>
      </c>
      <c r="M16" s="174">
        <v>0</v>
      </c>
      <c r="N16" s="174">
        <v>0</v>
      </c>
      <c r="O16" s="174">
        <v>0</v>
      </c>
      <c r="P16" s="174">
        <v>0</v>
      </c>
      <c r="Q16" s="277">
        <v>0</v>
      </c>
      <c r="R16" s="174">
        <v>0</v>
      </c>
      <c r="S16" s="174">
        <v>0</v>
      </c>
      <c r="T16" s="174">
        <v>0</v>
      </c>
      <c r="U16" s="174">
        <v>0</v>
      </c>
      <c r="V16" s="277">
        <v>0</v>
      </c>
    </row>
    <row r="17" spans="1:22" ht="15" customHeight="1" x14ac:dyDescent="0.2">
      <c r="A17" s="57">
        <v>12</v>
      </c>
      <c r="B17" s="58" t="s">
        <v>62</v>
      </c>
      <c r="C17" s="174">
        <v>2</v>
      </c>
      <c r="D17" s="174">
        <v>3</v>
      </c>
      <c r="E17" s="174">
        <v>52</v>
      </c>
      <c r="F17" s="174">
        <v>35</v>
      </c>
      <c r="G17" s="277">
        <f t="shared" si="0"/>
        <v>8.5714285714285712</v>
      </c>
      <c r="H17" s="174">
        <v>5</v>
      </c>
      <c r="I17" s="174">
        <v>7</v>
      </c>
      <c r="J17" s="174">
        <v>15</v>
      </c>
      <c r="K17" s="174">
        <v>77</v>
      </c>
      <c r="L17" s="277">
        <f t="shared" si="1"/>
        <v>9.0909090909090917</v>
      </c>
      <c r="M17" s="174">
        <v>0</v>
      </c>
      <c r="N17" s="174">
        <v>0</v>
      </c>
      <c r="O17" s="174">
        <v>0</v>
      </c>
      <c r="P17" s="174">
        <v>0</v>
      </c>
      <c r="Q17" s="277">
        <v>0</v>
      </c>
      <c r="R17" s="174">
        <v>4</v>
      </c>
      <c r="S17" s="174">
        <v>8</v>
      </c>
      <c r="T17" s="174">
        <v>4</v>
      </c>
      <c r="U17" s="174">
        <v>8</v>
      </c>
      <c r="V17" s="277">
        <f t="shared" si="2"/>
        <v>100</v>
      </c>
    </row>
    <row r="18" spans="1:22" ht="15" customHeight="1" x14ac:dyDescent="0.2">
      <c r="A18" s="57">
        <v>13</v>
      </c>
      <c r="B18" s="58" t="s">
        <v>63</v>
      </c>
      <c r="C18" s="174">
        <v>0</v>
      </c>
      <c r="D18" s="174">
        <v>0</v>
      </c>
      <c r="E18" s="174">
        <v>0</v>
      </c>
      <c r="F18" s="174">
        <v>0</v>
      </c>
      <c r="G18" s="277">
        <v>0</v>
      </c>
      <c r="H18" s="174">
        <v>10</v>
      </c>
      <c r="I18" s="174">
        <v>19</v>
      </c>
      <c r="J18" s="174">
        <v>153</v>
      </c>
      <c r="K18" s="174">
        <v>1224</v>
      </c>
      <c r="L18" s="277">
        <f t="shared" si="1"/>
        <v>1.5522875816993464</v>
      </c>
      <c r="M18" s="174">
        <v>30</v>
      </c>
      <c r="N18" s="174">
        <v>32</v>
      </c>
      <c r="O18" s="174">
        <v>2276</v>
      </c>
      <c r="P18" s="174">
        <v>1982</v>
      </c>
      <c r="Q18" s="277">
        <f t="shared" si="3"/>
        <v>1.6145307769929365</v>
      </c>
      <c r="R18" s="174">
        <v>0</v>
      </c>
      <c r="S18" s="174">
        <v>0</v>
      </c>
      <c r="T18" s="174">
        <v>14</v>
      </c>
      <c r="U18" s="174">
        <v>10</v>
      </c>
      <c r="V18" s="277">
        <f t="shared" si="2"/>
        <v>0</v>
      </c>
    </row>
    <row r="19" spans="1:22" ht="15" customHeight="1" x14ac:dyDescent="0.2">
      <c r="A19" s="57">
        <v>14</v>
      </c>
      <c r="B19" s="91" t="s">
        <v>207</v>
      </c>
      <c r="C19" s="174">
        <v>795</v>
      </c>
      <c r="D19" s="174">
        <v>355</v>
      </c>
      <c r="E19" s="174">
        <v>1747</v>
      </c>
      <c r="F19" s="174">
        <v>2173</v>
      </c>
      <c r="G19" s="277">
        <f t="shared" si="0"/>
        <v>16.336861481822364</v>
      </c>
      <c r="H19" s="174">
        <v>44</v>
      </c>
      <c r="I19" s="174">
        <v>55.75</v>
      </c>
      <c r="J19" s="174">
        <v>200</v>
      </c>
      <c r="K19" s="174">
        <v>635</v>
      </c>
      <c r="L19" s="277">
        <f t="shared" si="1"/>
        <v>8.7795275590551185</v>
      </c>
      <c r="M19" s="174">
        <v>478</v>
      </c>
      <c r="N19" s="174">
        <v>321</v>
      </c>
      <c r="O19" s="174">
        <v>2989</v>
      </c>
      <c r="P19" s="174">
        <v>2307.65</v>
      </c>
      <c r="Q19" s="277">
        <f t="shared" si="3"/>
        <v>13.910255021342058</v>
      </c>
      <c r="R19" s="174">
        <v>30</v>
      </c>
      <c r="S19" s="174">
        <v>35.64</v>
      </c>
      <c r="T19" s="174">
        <v>52</v>
      </c>
      <c r="U19" s="174">
        <v>55.08</v>
      </c>
      <c r="V19" s="277">
        <f t="shared" si="2"/>
        <v>64.705882352941174</v>
      </c>
    </row>
    <row r="20" spans="1:22" ht="15" customHeight="1" x14ac:dyDescent="0.2">
      <c r="A20" s="57">
        <v>15</v>
      </c>
      <c r="B20" s="58" t="s">
        <v>208</v>
      </c>
      <c r="C20" s="174">
        <v>0</v>
      </c>
      <c r="D20" s="174">
        <v>0</v>
      </c>
      <c r="E20" s="174">
        <v>340</v>
      </c>
      <c r="F20" s="174">
        <v>601.11</v>
      </c>
      <c r="G20" s="277">
        <f t="shared" si="0"/>
        <v>0</v>
      </c>
      <c r="H20" s="174">
        <v>0</v>
      </c>
      <c r="I20" s="174">
        <v>0</v>
      </c>
      <c r="J20" s="174">
        <v>72</v>
      </c>
      <c r="K20" s="174">
        <v>356</v>
      </c>
      <c r="L20" s="277">
        <f t="shared" si="1"/>
        <v>0</v>
      </c>
      <c r="M20" s="174">
        <v>0</v>
      </c>
      <c r="N20" s="174">
        <v>0</v>
      </c>
      <c r="O20" s="174">
        <v>0</v>
      </c>
      <c r="P20" s="174">
        <v>0</v>
      </c>
      <c r="Q20" s="277">
        <v>0</v>
      </c>
      <c r="R20" s="174">
        <v>6</v>
      </c>
      <c r="S20" s="174">
        <v>6</v>
      </c>
      <c r="T20" s="174">
        <v>22</v>
      </c>
      <c r="U20" s="174">
        <v>22.08</v>
      </c>
      <c r="V20" s="277">
        <f t="shared" si="2"/>
        <v>27.173913043478262</v>
      </c>
    </row>
    <row r="21" spans="1:22" ht="15" customHeight="1" x14ac:dyDescent="0.2">
      <c r="A21" s="57">
        <v>16</v>
      </c>
      <c r="B21" s="58" t="s">
        <v>64</v>
      </c>
      <c r="C21" s="174">
        <v>317</v>
      </c>
      <c r="D21" s="174">
        <v>1306</v>
      </c>
      <c r="E21" s="174">
        <v>4552</v>
      </c>
      <c r="F21" s="174">
        <v>17318</v>
      </c>
      <c r="G21" s="277">
        <f>D21*100/F21</f>
        <v>7.5412865226931514</v>
      </c>
      <c r="H21" s="174">
        <v>172</v>
      </c>
      <c r="I21" s="174">
        <v>346</v>
      </c>
      <c r="J21" s="174">
        <v>1048</v>
      </c>
      <c r="K21" s="174">
        <v>4374</v>
      </c>
      <c r="L21" s="277">
        <f>I21*100/K21</f>
        <v>7.9103795153177865</v>
      </c>
      <c r="M21" s="174">
        <v>673</v>
      </c>
      <c r="N21" s="174">
        <v>578</v>
      </c>
      <c r="O21" s="174">
        <v>26907</v>
      </c>
      <c r="P21" s="174">
        <v>21483</v>
      </c>
      <c r="Q21" s="277">
        <f>N21*100/P21</f>
        <v>2.6904994646930129</v>
      </c>
      <c r="R21" s="174">
        <v>556</v>
      </c>
      <c r="S21" s="174">
        <v>437</v>
      </c>
      <c r="T21" s="174">
        <v>2875</v>
      </c>
      <c r="U21" s="174">
        <v>2577</v>
      </c>
      <c r="V21" s="277">
        <f>S21*100/U21</f>
        <v>16.957702755141639</v>
      </c>
    </row>
    <row r="22" spans="1:22" ht="15" customHeight="1" x14ac:dyDescent="0.2">
      <c r="A22" s="57">
        <v>17</v>
      </c>
      <c r="B22" s="91" t="s">
        <v>69</v>
      </c>
      <c r="C22" s="174">
        <v>25</v>
      </c>
      <c r="D22" s="174">
        <v>11.55</v>
      </c>
      <c r="E22" s="174">
        <v>11</v>
      </c>
      <c r="F22" s="174">
        <v>14.8</v>
      </c>
      <c r="G22" s="277">
        <f t="shared" si="0"/>
        <v>78.040540540540533</v>
      </c>
      <c r="H22" s="174">
        <v>13</v>
      </c>
      <c r="I22" s="174">
        <v>7.29</v>
      </c>
      <c r="J22" s="174">
        <v>35</v>
      </c>
      <c r="K22" s="174">
        <v>121.93</v>
      </c>
      <c r="L22" s="277">
        <f>I22*100/K22</f>
        <v>5.9788403182153695</v>
      </c>
      <c r="M22" s="174">
        <v>0</v>
      </c>
      <c r="N22" s="174">
        <v>0</v>
      </c>
      <c r="O22" s="174">
        <v>0</v>
      </c>
      <c r="P22" s="174">
        <v>0</v>
      </c>
      <c r="Q22" s="277">
        <v>0</v>
      </c>
      <c r="R22" s="174">
        <v>0</v>
      </c>
      <c r="S22" s="174">
        <v>0</v>
      </c>
      <c r="T22" s="174">
        <v>0</v>
      </c>
      <c r="U22" s="174">
        <v>0</v>
      </c>
      <c r="V22" s="277">
        <v>0</v>
      </c>
    </row>
    <row r="23" spans="1:22" ht="15" customHeight="1" x14ac:dyDescent="0.2">
      <c r="A23" s="57">
        <v>18</v>
      </c>
      <c r="B23" s="58" t="s">
        <v>209</v>
      </c>
      <c r="C23" s="174">
        <v>0</v>
      </c>
      <c r="D23" s="174">
        <v>0</v>
      </c>
      <c r="E23" s="174">
        <v>0</v>
      </c>
      <c r="F23" s="174">
        <v>0</v>
      </c>
      <c r="G23" s="277">
        <v>0</v>
      </c>
      <c r="H23" s="174">
        <v>0</v>
      </c>
      <c r="I23" s="174">
        <v>0</v>
      </c>
      <c r="J23" s="174">
        <v>0</v>
      </c>
      <c r="K23" s="174">
        <v>0</v>
      </c>
      <c r="L23" s="277">
        <v>0</v>
      </c>
      <c r="M23" s="174">
        <v>0</v>
      </c>
      <c r="N23" s="174">
        <v>0</v>
      </c>
      <c r="O23" s="174">
        <v>0</v>
      </c>
      <c r="P23" s="174">
        <v>0</v>
      </c>
      <c r="Q23" s="277">
        <v>0</v>
      </c>
      <c r="R23" s="174">
        <v>0</v>
      </c>
      <c r="S23" s="174">
        <v>0</v>
      </c>
      <c r="T23" s="174">
        <v>0</v>
      </c>
      <c r="U23" s="174">
        <v>0</v>
      </c>
      <c r="V23" s="277">
        <v>0</v>
      </c>
    </row>
    <row r="24" spans="1:22" ht="15" customHeight="1" x14ac:dyDescent="0.2">
      <c r="A24" s="57">
        <v>19</v>
      </c>
      <c r="B24" s="92" t="s">
        <v>210</v>
      </c>
      <c r="C24" s="174">
        <v>43</v>
      </c>
      <c r="D24" s="174">
        <v>21</v>
      </c>
      <c r="E24" s="174">
        <v>142</v>
      </c>
      <c r="F24" s="174">
        <v>279</v>
      </c>
      <c r="G24" s="277">
        <f t="shared" si="0"/>
        <v>7.5268817204301079</v>
      </c>
      <c r="H24" s="174">
        <v>0</v>
      </c>
      <c r="I24" s="174">
        <v>0</v>
      </c>
      <c r="J24" s="174">
        <v>0</v>
      </c>
      <c r="K24" s="174">
        <v>0</v>
      </c>
      <c r="L24" s="277">
        <v>0</v>
      </c>
      <c r="M24" s="174">
        <v>0</v>
      </c>
      <c r="N24" s="174">
        <v>0</v>
      </c>
      <c r="O24" s="174">
        <v>0</v>
      </c>
      <c r="P24" s="174">
        <v>0</v>
      </c>
      <c r="Q24" s="277">
        <v>0</v>
      </c>
      <c r="R24" s="174">
        <v>0</v>
      </c>
      <c r="S24" s="174">
        <v>0</v>
      </c>
      <c r="T24" s="174">
        <v>0</v>
      </c>
      <c r="U24" s="174">
        <v>0</v>
      </c>
      <c r="V24" s="277">
        <v>0</v>
      </c>
    </row>
    <row r="25" spans="1:22" ht="15" customHeight="1" x14ac:dyDescent="0.2">
      <c r="A25" s="57">
        <v>20</v>
      </c>
      <c r="B25" s="58" t="s">
        <v>211</v>
      </c>
      <c r="C25" s="174">
        <v>2</v>
      </c>
      <c r="D25" s="174">
        <v>4</v>
      </c>
      <c r="E25" s="174">
        <v>0</v>
      </c>
      <c r="F25" s="174">
        <v>0</v>
      </c>
      <c r="G25" s="277">
        <v>0</v>
      </c>
      <c r="H25" s="174">
        <v>0</v>
      </c>
      <c r="I25" s="174">
        <v>0</v>
      </c>
      <c r="J25" s="174">
        <v>0</v>
      </c>
      <c r="K25" s="174">
        <v>0</v>
      </c>
      <c r="L25" s="277">
        <v>0</v>
      </c>
      <c r="M25" s="174">
        <v>0</v>
      </c>
      <c r="N25" s="174">
        <v>0</v>
      </c>
      <c r="O25" s="174">
        <v>0</v>
      </c>
      <c r="P25" s="174">
        <v>0</v>
      </c>
      <c r="Q25" s="277">
        <v>0</v>
      </c>
      <c r="R25" s="174">
        <v>0</v>
      </c>
      <c r="S25" s="174">
        <v>0</v>
      </c>
      <c r="T25" s="174">
        <v>0</v>
      </c>
      <c r="U25" s="174">
        <v>0</v>
      </c>
      <c r="V25" s="277">
        <v>0</v>
      </c>
    </row>
    <row r="26" spans="1:22" ht="15" customHeight="1" x14ac:dyDescent="0.2">
      <c r="A26" s="57">
        <v>21</v>
      </c>
      <c r="B26" s="58" t="s">
        <v>212</v>
      </c>
      <c r="C26" s="174">
        <v>19</v>
      </c>
      <c r="D26" s="174">
        <v>19</v>
      </c>
      <c r="E26" s="174">
        <v>126</v>
      </c>
      <c r="F26" s="174">
        <v>92</v>
      </c>
      <c r="G26" s="277">
        <v>0</v>
      </c>
      <c r="H26" s="174">
        <v>6</v>
      </c>
      <c r="I26" s="174">
        <v>7</v>
      </c>
      <c r="J26" s="174">
        <v>19</v>
      </c>
      <c r="K26" s="174">
        <v>22</v>
      </c>
      <c r="L26" s="277">
        <v>0</v>
      </c>
      <c r="M26" s="174">
        <v>0</v>
      </c>
      <c r="N26" s="174">
        <v>0</v>
      </c>
      <c r="O26" s="174">
        <v>0</v>
      </c>
      <c r="P26" s="174">
        <v>0</v>
      </c>
      <c r="Q26" s="277">
        <v>0</v>
      </c>
      <c r="R26" s="174">
        <v>0</v>
      </c>
      <c r="S26" s="174">
        <v>0</v>
      </c>
      <c r="T26" s="174">
        <v>0</v>
      </c>
      <c r="U26" s="174">
        <v>0</v>
      </c>
      <c r="V26" s="277">
        <v>0</v>
      </c>
    </row>
    <row r="27" spans="1:22" s="183" customFormat="1" ht="15" customHeight="1" x14ac:dyDescent="0.2">
      <c r="A27" s="57">
        <v>22</v>
      </c>
      <c r="B27" s="58" t="s">
        <v>70</v>
      </c>
      <c r="C27" s="174">
        <v>9767</v>
      </c>
      <c r="D27" s="174">
        <v>2934</v>
      </c>
      <c r="E27" s="174">
        <v>19074</v>
      </c>
      <c r="F27" s="174">
        <v>30146</v>
      </c>
      <c r="G27" s="277">
        <f t="shared" si="0"/>
        <v>9.7326345120413986</v>
      </c>
      <c r="H27" s="174">
        <v>233</v>
      </c>
      <c r="I27" s="174">
        <v>678</v>
      </c>
      <c r="J27" s="174">
        <v>2329</v>
      </c>
      <c r="K27" s="174">
        <v>3441</v>
      </c>
      <c r="L27" s="277">
        <f t="shared" si="1"/>
        <v>19.703574542284219</v>
      </c>
      <c r="M27" s="174">
        <v>13368</v>
      </c>
      <c r="N27" s="174">
        <v>9417</v>
      </c>
      <c r="O27" s="174">
        <v>110434</v>
      </c>
      <c r="P27" s="174">
        <v>83346</v>
      </c>
      <c r="Q27" s="277">
        <f t="shared" si="3"/>
        <v>11.298682600244764</v>
      </c>
      <c r="R27" s="174">
        <v>25</v>
      </c>
      <c r="S27" s="174">
        <v>3</v>
      </c>
      <c r="T27" s="174">
        <v>180</v>
      </c>
      <c r="U27" s="174">
        <v>462</v>
      </c>
      <c r="V27" s="277">
        <f t="shared" si="2"/>
        <v>0.64935064935064934</v>
      </c>
    </row>
    <row r="28" spans="1:22" ht="15" customHeight="1" x14ac:dyDescent="0.2">
      <c r="A28" s="57">
        <v>23</v>
      </c>
      <c r="B28" s="58" t="s">
        <v>65</v>
      </c>
      <c r="C28" s="174">
        <v>159</v>
      </c>
      <c r="D28" s="174">
        <v>66</v>
      </c>
      <c r="E28" s="174">
        <v>3445</v>
      </c>
      <c r="F28" s="174">
        <v>1354</v>
      </c>
      <c r="G28" s="277">
        <f t="shared" si="0"/>
        <v>4.8744460856720826</v>
      </c>
      <c r="H28" s="174">
        <v>16</v>
      </c>
      <c r="I28" s="174">
        <v>47</v>
      </c>
      <c r="J28" s="174">
        <v>36</v>
      </c>
      <c r="K28" s="174">
        <v>89</v>
      </c>
      <c r="L28" s="277">
        <f t="shared" si="1"/>
        <v>52.80898876404494</v>
      </c>
      <c r="M28" s="174">
        <v>895</v>
      </c>
      <c r="N28" s="174">
        <v>638</v>
      </c>
      <c r="O28" s="174">
        <v>3575</v>
      </c>
      <c r="P28" s="174">
        <v>2786</v>
      </c>
      <c r="Q28" s="277">
        <f t="shared" si="3"/>
        <v>22.900215362526922</v>
      </c>
      <c r="R28" s="174">
        <v>91</v>
      </c>
      <c r="S28" s="174">
        <v>42</v>
      </c>
      <c r="T28" s="174">
        <v>109</v>
      </c>
      <c r="U28" s="174">
        <v>47</v>
      </c>
      <c r="V28" s="277">
        <f t="shared" si="2"/>
        <v>89.361702127659569</v>
      </c>
    </row>
    <row r="29" spans="1:22" ht="15" customHeight="1" x14ac:dyDescent="0.2">
      <c r="A29" s="57">
        <v>24</v>
      </c>
      <c r="B29" s="58" t="s">
        <v>213</v>
      </c>
      <c r="C29" s="174">
        <v>356</v>
      </c>
      <c r="D29" s="174">
        <v>321</v>
      </c>
      <c r="E29" s="174">
        <v>2059</v>
      </c>
      <c r="F29" s="174">
        <v>1965</v>
      </c>
      <c r="G29" s="277">
        <f t="shared" si="0"/>
        <v>16.335877862595421</v>
      </c>
      <c r="H29" s="174">
        <v>101</v>
      </c>
      <c r="I29" s="174">
        <v>185</v>
      </c>
      <c r="J29" s="174">
        <v>1875</v>
      </c>
      <c r="K29" s="174">
        <v>1772</v>
      </c>
      <c r="L29" s="277">
        <f t="shared" si="1"/>
        <v>10.440180586907449</v>
      </c>
      <c r="M29" s="174">
        <v>0</v>
      </c>
      <c r="N29" s="174">
        <v>0</v>
      </c>
      <c r="O29" s="174">
        <v>0</v>
      </c>
      <c r="P29" s="174">
        <v>0</v>
      </c>
      <c r="Q29" s="277">
        <v>0</v>
      </c>
      <c r="R29" s="174">
        <v>1535</v>
      </c>
      <c r="S29" s="174">
        <v>1013</v>
      </c>
      <c r="T29" s="174">
        <v>2258</v>
      </c>
      <c r="U29" s="174">
        <v>1631</v>
      </c>
      <c r="V29" s="277">
        <f t="shared" si="2"/>
        <v>62.109135499693437</v>
      </c>
    </row>
    <row r="30" spans="1:22" ht="15" customHeight="1" x14ac:dyDescent="0.2">
      <c r="A30" s="57">
        <v>25</v>
      </c>
      <c r="B30" s="58" t="s">
        <v>66</v>
      </c>
      <c r="C30" s="174">
        <v>812</v>
      </c>
      <c r="D30" s="174">
        <v>142</v>
      </c>
      <c r="E30" s="174">
        <v>3873</v>
      </c>
      <c r="F30" s="174">
        <v>11032</v>
      </c>
      <c r="G30" s="277">
        <f t="shared" si="0"/>
        <v>1.2871646120377085</v>
      </c>
      <c r="H30" s="174">
        <v>76</v>
      </c>
      <c r="I30" s="174">
        <v>242</v>
      </c>
      <c r="J30" s="174">
        <v>872</v>
      </c>
      <c r="K30" s="174">
        <v>2702</v>
      </c>
      <c r="L30" s="277">
        <f t="shared" si="1"/>
        <v>8.956328645447817</v>
      </c>
      <c r="M30" s="174">
        <v>2416</v>
      </c>
      <c r="N30" s="174">
        <v>1332</v>
      </c>
      <c r="O30" s="174">
        <v>26086</v>
      </c>
      <c r="P30" s="174">
        <v>18454</v>
      </c>
      <c r="Q30" s="277">
        <f t="shared" si="3"/>
        <v>7.2179473284924676</v>
      </c>
      <c r="R30" s="174">
        <v>1602</v>
      </c>
      <c r="S30" s="174">
        <v>1052</v>
      </c>
      <c r="T30" s="174">
        <v>7531</v>
      </c>
      <c r="U30" s="174">
        <v>5935</v>
      </c>
      <c r="V30" s="277">
        <f t="shared" si="2"/>
        <v>17.72535804549284</v>
      </c>
    </row>
    <row r="31" spans="1:22" ht="15" customHeight="1" x14ac:dyDescent="0.2">
      <c r="A31" s="57">
        <v>26</v>
      </c>
      <c r="B31" s="182" t="s">
        <v>67</v>
      </c>
      <c r="C31" s="174">
        <v>13</v>
      </c>
      <c r="D31" s="174">
        <v>9</v>
      </c>
      <c r="E31" s="174">
        <v>28</v>
      </c>
      <c r="F31" s="174">
        <v>19.190000000000001</v>
      </c>
      <c r="G31" s="277">
        <f t="shared" si="0"/>
        <v>46.899426784783735</v>
      </c>
      <c r="H31" s="174">
        <v>4</v>
      </c>
      <c r="I31" s="174">
        <v>2</v>
      </c>
      <c r="J31" s="174">
        <v>10</v>
      </c>
      <c r="K31" s="174">
        <v>18</v>
      </c>
      <c r="L31" s="277">
        <f t="shared" si="1"/>
        <v>11.111111111111111</v>
      </c>
      <c r="M31" s="174">
        <v>0</v>
      </c>
      <c r="N31" s="174">
        <v>0</v>
      </c>
      <c r="O31" s="174">
        <v>0</v>
      </c>
      <c r="P31" s="174">
        <v>0</v>
      </c>
      <c r="Q31" s="277">
        <v>0</v>
      </c>
      <c r="R31" s="174">
        <v>0</v>
      </c>
      <c r="S31" s="174">
        <v>0</v>
      </c>
      <c r="T31" s="174">
        <v>0</v>
      </c>
      <c r="U31" s="174">
        <v>0</v>
      </c>
      <c r="V31" s="277">
        <v>0</v>
      </c>
    </row>
    <row r="32" spans="1:22" ht="15" customHeight="1" x14ac:dyDescent="0.2">
      <c r="A32" s="57">
        <v>27</v>
      </c>
      <c r="B32" s="58" t="s">
        <v>50</v>
      </c>
      <c r="C32" s="174">
        <v>332</v>
      </c>
      <c r="D32" s="174">
        <v>233</v>
      </c>
      <c r="E32" s="174">
        <v>1648</v>
      </c>
      <c r="F32" s="174">
        <v>3596</v>
      </c>
      <c r="G32" s="277">
        <f t="shared" si="0"/>
        <v>6.4794215795328141</v>
      </c>
      <c r="H32" s="174">
        <v>27</v>
      </c>
      <c r="I32" s="174">
        <v>140</v>
      </c>
      <c r="J32" s="174">
        <v>183</v>
      </c>
      <c r="K32" s="174">
        <v>1045</v>
      </c>
      <c r="L32" s="277">
        <f t="shared" si="1"/>
        <v>13.397129186602871</v>
      </c>
      <c r="M32" s="174">
        <v>0</v>
      </c>
      <c r="N32" s="174">
        <v>0</v>
      </c>
      <c r="O32" s="174">
        <v>0</v>
      </c>
      <c r="P32" s="174">
        <v>0</v>
      </c>
      <c r="Q32" s="277">
        <v>0</v>
      </c>
      <c r="R32" s="174">
        <v>4</v>
      </c>
      <c r="S32" s="174">
        <v>2.4900000000000002</v>
      </c>
      <c r="T32" s="174">
        <v>36</v>
      </c>
      <c r="U32" s="174">
        <v>15.3</v>
      </c>
      <c r="V32" s="277">
        <f t="shared" si="2"/>
        <v>16.274509803921571</v>
      </c>
    </row>
    <row r="33" spans="1:22" s="183" customFormat="1" ht="15" customHeight="1" x14ac:dyDescent="0.2">
      <c r="A33" s="344" t="s">
        <v>348</v>
      </c>
      <c r="B33" s="60" t="s">
        <v>288</v>
      </c>
      <c r="C33" s="176">
        <f>SUM(C6:C32)</f>
        <v>15276</v>
      </c>
      <c r="D33" s="176">
        <f t="shared" ref="D33:U33" si="4">SUM(D6:D32)</f>
        <v>9978.2200000000012</v>
      </c>
      <c r="E33" s="176">
        <f t="shared" si="4"/>
        <v>67408</v>
      </c>
      <c r="F33" s="176">
        <f t="shared" si="4"/>
        <v>174533.11000000002</v>
      </c>
      <c r="G33" s="280">
        <f t="shared" si="0"/>
        <v>5.7170928771050953</v>
      </c>
      <c r="H33" s="176">
        <f t="shared" si="4"/>
        <v>1829</v>
      </c>
      <c r="I33" s="176">
        <f t="shared" si="4"/>
        <v>4741.16</v>
      </c>
      <c r="J33" s="176">
        <f t="shared" si="4"/>
        <v>14766</v>
      </c>
      <c r="K33" s="176">
        <f t="shared" si="4"/>
        <v>52234.82</v>
      </c>
      <c r="L33" s="280">
        <f t="shared" si="1"/>
        <v>9.0766274297489691</v>
      </c>
      <c r="M33" s="176">
        <f t="shared" si="4"/>
        <v>34860</v>
      </c>
      <c r="N33" s="176">
        <f t="shared" si="4"/>
        <v>23504.37</v>
      </c>
      <c r="O33" s="176">
        <f t="shared" si="4"/>
        <v>363431</v>
      </c>
      <c r="P33" s="176">
        <f t="shared" si="4"/>
        <v>268905.82999999996</v>
      </c>
      <c r="Q33" s="280">
        <f t="shared" si="3"/>
        <v>8.7407439251131169</v>
      </c>
      <c r="R33" s="176">
        <f t="shared" si="4"/>
        <v>4876</v>
      </c>
      <c r="S33" s="176">
        <f t="shared" si="4"/>
        <v>3351.93</v>
      </c>
      <c r="T33" s="176">
        <f t="shared" si="4"/>
        <v>25997</v>
      </c>
      <c r="U33" s="176">
        <f t="shared" si="4"/>
        <v>20702.64</v>
      </c>
      <c r="V33" s="280">
        <f t="shared" si="2"/>
        <v>16.190833632812048</v>
      </c>
    </row>
    <row r="34" spans="1:22" s="183" customFormat="1" ht="15" customHeight="1" x14ac:dyDescent="0.2">
      <c r="A34" s="57">
        <v>28</v>
      </c>
      <c r="B34" s="58" t="s">
        <v>47</v>
      </c>
      <c r="C34" s="174">
        <v>44</v>
      </c>
      <c r="D34" s="174">
        <v>7</v>
      </c>
      <c r="E34" s="174">
        <v>105</v>
      </c>
      <c r="F34" s="174">
        <v>283</v>
      </c>
      <c r="G34" s="277">
        <f t="shared" si="0"/>
        <v>2.4734982332155475</v>
      </c>
      <c r="H34" s="174">
        <v>0</v>
      </c>
      <c r="I34" s="174">
        <v>0</v>
      </c>
      <c r="J34" s="174">
        <v>0</v>
      </c>
      <c r="K34" s="174">
        <v>0</v>
      </c>
      <c r="L34" s="277">
        <v>0</v>
      </c>
      <c r="M34" s="174">
        <v>0</v>
      </c>
      <c r="N34" s="174">
        <v>0</v>
      </c>
      <c r="O34" s="174">
        <v>0</v>
      </c>
      <c r="P34" s="174">
        <v>0</v>
      </c>
      <c r="Q34" s="277">
        <v>0</v>
      </c>
      <c r="R34" s="174">
        <v>0</v>
      </c>
      <c r="S34" s="174">
        <v>0</v>
      </c>
      <c r="T34" s="174">
        <v>4</v>
      </c>
      <c r="U34" s="174">
        <v>0.89</v>
      </c>
      <c r="V34" s="277">
        <f t="shared" si="2"/>
        <v>0</v>
      </c>
    </row>
    <row r="35" spans="1:22" ht="15" customHeight="1" x14ac:dyDescent="0.2">
      <c r="A35" s="57">
        <v>29</v>
      </c>
      <c r="B35" s="58" t="s">
        <v>215</v>
      </c>
      <c r="C35" s="174">
        <v>0</v>
      </c>
      <c r="D35" s="174">
        <v>0</v>
      </c>
      <c r="E35" s="174">
        <v>0</v>
      </c>
      <c r="F35" s="174">
        <v>0</v>
      </c>
      <c r="G35" s="277">
        <v>0</v>
      </c>
      <c r="H35" s="174">
        <v>0</v>
      </c>
      <c r="I35" s="174">
        <v>0</v>
      </c>
      <c r="J35" s="174">
        <v>0</v>
      </c>
      <c r="K35" s="174">
        <v>0</v>
      </c>
      <c r="L35" s="277">
        <v>0</v>
      </c>
      <c r="M35" s="174">
        <v>0</v>
      </c>
      <c r="N35" s="174">
        <v>0</v>
      </c>
      <c r="O35" s="174">
        <v>0</v>
      </c>
      <c r="P35" s="174">
        <v>0</v>
      </c>
      <c r="Q35" s="277">
        <v>0</v>
      </c>
      <c r="R35" s="174">
        <v>0</v>
      </c>
      <c r="S35" s="174">
        <v>0</v>
      </c>
      <c r="T35" s="174">
        <v>0</v>
      </c>
      <c r="U35" s="174">
        <v>0</v>
      </c>
      <c r="V35" s="277">
        <v>0</v>
      </c>
    </row>
    <row r="36" spans="1:22" ht="15" customHeight="1" x14ac:dyDescent="0.2">
      <c r="A36" s="57">
        <v>30</v>
      </c>
      <c r="B36" s="58" t="s">
        <v>216</v>
      </c>
      <c r="C36" s="174">
        <v>0</v>
      </c>
      <c r="D36" s="174">
        <v>0</v>
      </c>
      <c r="E36" s="174">
        <v>0</v>
      </c>
      <c r="F36" s="174">
        <v>0</v>
      </c>
      <c r="G36" s="277">
        <v>0</v>
      </c>
      <c r="H36" s="174">
        <v>0</v>
      </c>
      <c r="I36" s="174">
        <v>0</v>
      </c>
      <c r="J36" s="174">
        <v>0</v>
      </c>
      <c r="K36" s="174">
        <v>0</v>
      </c>
      <c r="L36" s="277">
        <v>0</v>
      </c>
      <c r="M36" s="174">
        <v>0</v>
      </c>
      <c r="N36" s="174">
        <v>0</v>
      </c>
      <c r="O36" s="174">
        <v>0</v>
      </c>
      <c r="P36" s="174">
        <v>0</v>
      </c>
      <c r="Q36" s="277">
        <v>0</v>
      </c>
      <c r="R36" s="174">
        <v>0</v>
      </c>
      <c r="S36" s="174">
        <v>0</v>
      </c>
      <c r="T36" s="174">
        <v>0</v>
      </c>
      <c r="U36" s="174">
        <v>0</v>
      </c>
      <c r="V36" s="277">
        <v>0</v>
      </c>
    </row>
    <row r="37" spans="1:22" ht="15" customHeight="1" x14ac:dyDescent="0.2">
      <c r="A37" s="57">
        <v>31</v>
      </c>
      <c r="B37" s="58" t="s">
        <v>78</v>
      </c>
      <c r="C37" s="174">
        <v>0</v>
      </c>
      <c r="D37" s="174">
        <v>0</v>
      </c>
      <c r="E37" s="174">
        <v>0</v>
      </c>
      <c r="F37" s="174">
        <v>0</v>
      </c>
      <c r="G37" s="277">
        <v>0</v>
      </c>
      <c r="H37" s="174">
        <v>0</v>
      </c>
      <c r="I37" s="174">
        <v>0</v>
      </c>
      <c r="J37" s="174">
        <v>0</v>
      </c>
      <c r="K37" s="174">
        <v>0</v>
      </c>
      <c r="L37" s="277">
        <v>0</v>
      </c>
      <c r="M37" s="174">
        <v>0</v>
      </c>
      <c r="N37" s="174">
        <v>0</v>
      </c>
      <c r="O37" s="174">
        <v>0</v>
      </c>
      <c r="P37" s="174">
        <v>0</v>
      </c>
      <c r="Q37" s="277">
        <v>0</v>
      </c>
      <c r="R37" s="174">
        <v>0</v>
      </c>
      <c r="S37" s="174">
        <v>0</v>
      </c>
      <c r="T37" s="174">
        <v>0</v>
      </c>
      <c r="U37" s="174">
        <v>0</v>
      </c>
      <c r="V37" s="277">
        <v>0</v>
      </c>
    </row>
    <row r="38" spans="1:22" ht="15" customHeight="1" x14ac:dyDescent="0.2">
      <c r="A38" s="57">
        <v>32</v>
      </c>
      <c r="B38" s="58" t="s">
        <v>51</v>
      </c>
      <c r="C38" s="174">
        <v>0</v>
      </c>
      <c r="D38" s="174">
        <v>0</v>
      </c>
      <c r="E38" s="174">
        <v>0</v>
      </c>
      <c r="F38" s="174">
        <v>0</v>
      </c>
      <c r="G38" s="277">
        <v>0</v>
      </c>
      <c r="H38" s="174">
        <v>0</v>
      </c>
      <c r="I38" s="174">
        <v>0</v>
      </c>
      <c r="J38" s="174">
        <v>0</v>
      </c>
      <c r="K38" s="174">
        <v>0</v>
      </c>
      <c r="L38" s="277">
        <v>0</v>
      </c>
      <c r="M38" s="174">
        <v>0</v>
      </c>
      <c r="N38" s="174">
        <v>0</v>
      </c>
      <c r="O38" s="174">
        <v>0</v>
      </c>
      <c r="P38" s="174">
        <v>0</v>
      </c>
      <c r="Q38" s="277">
        <v>0</v>
      </c>
      <c r="R38" s="174">
        <v>0</v>
      </c>
      <c r="S38" s="174">
        <v>0</v>
      </c>
      <c r="T38" s="174">
        <v>0</v>
      </c>
      <c r="U38" s="174">
        <v>0</v>
      </c>
      <c r="V38" s="277">
        <v>0</v>
      </c>
    </row>
    <row r="39" spans="1:22" ht="15" customHeight="1" x14ac:dyDescent="0.2">
      <c r="A39" s="57">
        <v>33</v>
      </c>
      <c r="B39" s="58" t="s">
        <v>217</v>
      </c>
      <c r="C39" s="174">
        <v>0</v>
      </c>
      <c r="D39" s="174">
        <v>0</v>
      </c>
      <c r="E39" s="174">
        <v>0</v>
      </c>
      <c r="F39" s="174">
        <v>0</v>
      </c>
      <c r="G39" s="277">
        <v>0</v>
      </c>
      <c r="H39" s="174">
        <v>0</v>
      </c>
      <c r="I39" s="174">
        <v>0</v>
      </c>
      <c r="J39" s="174">
        <v>0</v>
      </c>
      <c r="K39" s="174">
        <v>0</v>
      </c>
      <c r="L39" s="277">
        <v>0</v>
      </c>
      <c r="M39" s="174">
        <v>0</v>
      </c>
      <c r="N39" s="174">
        <v>0</v>
      </c>
      <c r="O39" s="174">
        <v>0</v>
      </c>
      <c r="P39" s="174">
        <v>0</v>
      </c>
      <c r="Q39" s="277">
        <v>0</v>
      </c>
      <c r="R39" s="174">
        <v>0</v>
      </c>
      <c r="S39" s="174">
        <v>0</v>
      </c>
      <c r="T39" s="174">
        <v>0</v>
      </c>
      <c r="U39" s="174">
        <v>0</v>
      </c>
      <c r="V39" s="277">
        <v>0</v>
      </c>
    </row>
    <row r="40" spans="1:22" ht="15" customHeight="1" x14ac:dyDescent="0.2">
      <c r="A40" s="57">
        <v>34</v>
      </c>
      <c r="B40" s="58" t="s">
        <v>218</v>
      </c>
      <c r="C40" s="174">
        <v>0</v>
      </c>
      <c r="D40" s="174">
        <v>0</v>
      </c>
      <c r="E40" s="174">
        <v>0</v>
      </c>
      <c r="F40" s="174">
        <v>0</v>
      </c>
      <c r="G40" s="277">
        <v>0</v>
      </c>
      <c r="H40" s="174">
        <v>0</v>
      </c>
      <c r="I40" s="174">
        <v>0</v>
      </c>
      <c r="J40" s="174">
        <v>0</v>
      </c>
      <c r="K40" s="174">
        <v>0</v>
      </c>
      <c r="L40" s="277">
        <v>0</v>
      </c>
      <c r="M40" s="174">
        <v>0</v>
      </c>
      <c r="N40" s="174">
        <v>0</v>
      </c>
      <c r="O40" s="174">
        <v>0</v>
      </c>
      <c r="P40" s="174">
        <v>0</v>
      </c>
      <c r="Q40" s="277">
        <v>0</v>
      </c>
      <c r="R40" s="174">
        <v>0</v>
      </c>
      <c r="S40" s="174">
        <v>0</v>
      </c>
      <c r="T40" s="174">
        <v>0</v>
      </c>
      <c r="U40" s="174">
        <v>0</v>
      </c>
      <c r="V40" s="277">
        <v>0</v>
      </c>
    </row>
    <row r="41" spans="1:22" ht="15" customHeight="1" x14ac:dyDescent="0.2">
      <c r="A41" s="57">
        <v>35</v>
      </c>
      <c r="B41" s="58" t="s">
        <v>219</v>
      </c>
      <c r="C41" s="174">
        <v>0</v>
      </c>
      <c r="D41" s="174">
        <v>0</v>
      </c>
      <c r="E41" s="174">
        <v>0</v>
      </c>
      <c r="F41" s="174">
        <v>0</v>
      </c>
      <c r="G41" s="277">
        <v>0</v>
      </c>
      <c r="H41" s="174">
        <v>0</v>
      </c>
      <c r="I41" s="174">
        <v>0</v>
      </c>
      <c r="J41" s="174">
        <v>0</v>
      </c>
      <c r="K41" s="174">
        <v>0</v>
      </c>
      <c r="L41" s="277">
        <v>0</v>
      </c>
      <c r="M41" s="174">
        <v>0</v>
      </c>
      <c r="N41" s="174">
        <v>0</v>
      </c>
      <c r="O41" s="174">
        <v>0</v>
      </c>
      <c r="P41" s="174">
        <v>0</v>
      </c>
      <c r="Q41" s="277">
        <v>0</v>
      </c>
      <c r="R41" s="174">
        <v>0</v>
      </c>
      <c r="S41" s="174">
        <v>0</v>
      </c>
      <c r="T41" s="174">
        <v>0</v>
      </c>
      <c r="U41" s="174">
        <v>0</v>
      </c>
      <c r="V41" s="277">
        <v>0</v>
      </c>
    </row>
    <row r="42" spans="1:22" ht="15" customHeight="1" x14ac:dyDescent="0.2">
      <c r="A42" s="57">
        <v>36</v>
      </c>
      <c r="B42" s="58" t="s">
        <v>71</v>
      </c>
      <c r="C42" s="174">
        <v>4</v>
      </c>
      <c r="D42" s="174">
        <v>1.28</v>
      </c>
      <c r="E42" s="174">
        <v>56</v>
      </c>
      <c r="F42" s="174">
        <v>54.75</v>
      </c>
      <c r="G42" s="277">
        <f t="shared" si="0"/>
        <v>2.3378995433789953</v>
      </c>
      <c r="H42" s="174">
        <v>0</v>
      </c>
      <c r="I42" s="174">
        <v>0</v>
      </c>
      <c r="J42" s="174">
        <v>0</v>
      </c>
      <c r="K42" s="174">
        <v>0</v>
      </c>
      <c r="L42" s="277">
        <v>0</v>
      </c>
      <c r="M42" s="174">
        <v>0</v>
      </c>
      <c r="N42" s="174">
        <v>0</v>
      </c>
      <c r="O42" s="174">
        <v>0</v>
      </c>
      <c r="P42" s="174">
        <v>0</v>
      </c>
      <c r="Q42" s="277">
        <v>0</v>
      </c>
      <c r="R42" s="174">
        <v>0</v>
      </c>
      <c r="S42" s="174">
        <v>0</v>
      </c>
      <c r="T42" s="174">
        <v>0</v>
      </c>
      <c r="U42" s="174">
        <v>0</v>
      </c>
      <c r="V42" s="277">
        <v>0</v>
      </c>
    </row>
    <row r="43" spans="1:22" ht="15" customHeight="1" x14ac:dyDescent="0.2">
      <c r="A43" s="57">
        <v>37</v>
      </c>
      <c r="B43" s="58" t="s">
        <v>72</v>
      </c>
      <c r="C43" s="174">
        <v>0</v>
      </c>
      <c r="D43" s="174">
        <v>0</v>
      </c>
      <c r="E43" s="174">
        <v>0</v>
      </c>
      <c r="F43" s="174">
        <v>0</v>
      </c>
      <c r="G43" s="277">
        <v>0</v>
      </c>
      <c r="H43" s="174">
        <v>0</v>
      </c>
      <c r="I43" s="174">
        <v>0</v>
      </c>
      <c r="J43" s="174">
        <v>0</v>
      </c>
      <c r="K43" s="174">
        <v>0</v>
      </c>
      <c r="L43" s="277">
        <v>0</v>
      </c>
      <c r="M43" s="174">
        <v>0</v>
      </c>
      <c r="N43" s="174">
        <v>0</v>
      </c>
      <c r="O43" s="174">
        <v>0</v>
      </c>
      <c r="P43" s="174">
        <v>0</v>
      </c>
      <c r="Q43" s="277">
        <v>0</v>
      </c>
      <c r="R43" s="174">
        <v>405</v>
      </c>
      <c r="S43" s="174">
        <v>254</v>
      </c>
      <c r="T43" s="174">
        <v>5905</v>
      </c>
      <c r="U43" s="174">
        <v>3298.64</v>
      </c>
      <c r="V43" s="277">
        <f t="shared" si="2"/>
        <v>7.7001430892731557</v>
      </c>
    </row>
    <row r="44" spans="1:22" ht="15" customHeight="1" x14ac:dyDescent="0.2">
      <c r="A44" s="57">
        <v>38</v>
      </c>
      <c r="B44" s="58" t="s">
        <v>220</v>
      </c>
      <c r="C44" s="174">
        <v>0</v>
      </c>
      <c r="D44" s="174">
        <v>0</v>
      </c>
      <c r="E44" s="174">
        <v>0</v>
      </c>
      <c r="F44" s="174">
        <v>0</v>
      </c>
      <c r="G44" s="277">
        <v>0</v>
      </c>
      <c r="H44" s="174">
        <v>0</v>
      </c>
      <c r="I44" s="174">
        <v>0</v>
      </c>
      <c r="J44" s="174">
        <v>0</v>
      </c>
      <c r="K44" s="174">
        <v>0</v>
      </c>
      <c r="L44" s="277">
        <v>0</v>
      </c>
      <c r="M44" s="174">
        <v>0</v>
      </c>
      <c r="N44" s="174">
        <v>0</v>
      </c>
      <c r="O44" s="174">
        <v>0</v>
      </c>
      <c r="P44" s="174">
        <v>0</v>
      </c>
      <c r="Q44" s="277">
        <v>0</v>
      </c>
      <c r="R44" s="174">
        <v>0</v>
      </c>
      <c r="S44" s="174">
        <v>0</v>
      </c>
      <c r="T44" s="174">
        <v>0</v>
      </c>
      <c r="U44" s="174">
        <v>0</v>
      </c>
      <c r="V44" s="277">
        <v>0</v>
      </c>
    </row>
    <row r="45" spans="1:22" ht="15" customHeight="1" x14ac:dyDescent="0.2">
      <c r="A45" s="57">
        <v>39</v>
      </c>
      <c r="B45" s="58" t="s">
        <v>221</v>
      </c>
      <c r="C45" s="174">
        <v>0</v>
      </c>
      <c r="D45" s="174">
        <v>0</v>
      </c>
      <c r="E45" s="174">
        <v>0</v>
      </c>
      <c r="F45" s="174">
        <v>0</v>
      </c>
      <c r="G45" s="277">
        <v>0</v>
      </c>
      <c r="H45" s="174">
        <v>0</v>
      </c>
      <c r="I45" s="174">
        <v>0</v>
      </c>
      <c r="J45" s="174">
        <v>0</v>
      </c>
      <c r="K45" s="174">
        <v>0</v>
      </c>
      <c r="L45" s="277">
        <v>0</v>
      </c>
      <c r="M45" s="174">
        <v>0</v>
      </c>
      <c r="N45" s="174">
        <v>0</v>
      </c>
      <c r="O45" s="174">
        <v>0</v>
      </c>
      <c r="P45" s="174">
        <v>0</v>
      </c>
      <c r="Q45" s="277">
        <v>0</v>
      </c>
      <c r="R45" s="174">
        <v>0</v>
      </c>
      <c r="S45" s="174">
        <v>0</v>
      </c>
      <c r="T45" s="174">
        <v>0</v>
      </c>
      <c r="U45" s="174">
        <v>0</v>
      </c>
      <c r="V45" s="277">
        <v>0</v>
      </c>
    </row>
    <row r="46" spans="1:22" ht="15" customHeight="1" x14ac:dyDescent="0.2">
      <c r="A46" s="57">
        <v>40</v>
      </c>
      <c r="B46" s="58" t="s">
        <v>222</v>
      </c>
      <c r="C46" s="174">
        <v>0</v>
      </c>
      <c r="D46" s="174">
        <v>0</v>
      </c>
      <c r="E46" s="174">
        <v>0</v>
      </c>
      <c r="F46" s="174">
        <v>0</v>
      </c>
      <c r="G46" s="277">
        <v>0</v>
      </c>
      <c r="H46" s="174">
        <v>0</v>
      </c>
      <c r="I46" s="174">
        <v>0</v>
      </c>
      <c r="J46" s="174">
        <v>0</v>
      </c>
      <c r="K46" s="174">
        <v>0</v>
      </c>
      <c r="L46" s="277">
        <v>0</v>
      </c>
      <c r="M46" s="174">
        <v>0</v>
      </c>
      <c r="N46" s="174">
        <v>0</v>
      </c>
      <c r="O46" s="174">
        <v>0</v>
      </c>
      <c r="P46" s="174">
        <v>0</v>
      </c>
      <c r="Q46" s="277">
        <v>0</v>
      </c>
      <c r="R46" s="174">
        <v>0</v>
      </c>
      <c r="S46" s="174">
        <v>0</v>
      </c>
      <c r="T46" s="174">
        <v>0</v>
      </c>
      <c r="U46" s="174">
        <v>0</v>
      </c>
      <c r="V46" s="277">
        <v>0</v>
      </c>
    </row>
    <row r="47" spans="1:22" ht="15" customHeight="1" x14ac:dyDescent="0.2">
      <c r="A47" s="57">
        <v>41</v>
      </c>
      <c r="B47" s="58" t="s">
        <v>223</v>
      </c>
      <c r="C47" s="174">
        <v>0</v>
      </c>
      <c r="D47" s="174">
        <v>0</v>
      </c>
      <c r="E47" s="174">
        <v>0</v>
      </c>
      <c r="F47" s="174">
        <v>0</v>
      </c>
      <c r="G47" s="277">
        <v>0</v>
      </c>
      <c r="H47" s="174">
        <v>0</v>
      </c>
      <c r="I47" s="174">
        <v>0</v>
      </c>
      <c r="J47" s="174">
        <v>0</v>
      </c>
      <c r="K47" s="174">
        <v>0</v>
      </c>
      <c r="L47" s="277">
        <v>0</v>
      </c>
      <c r="M47" s="174">
        <v>0</v>
      </c>
      <c r="N47" s="174">
        <v>0</v>
      </c>
      <c r="O47" s="174">
        <v>0</v>
      </c>
      <c r="P47" s="174">
        <v>0</v>
      </c>
      <c r="Q47" s="277">
        <v>0</v>
      </c>
      <c r="R47" s="174">
        <v>0</v>
      </c>
      <c r="S47" s="174">
        <v>0</v>
      </c>
      <c r="T47" s="174">
        <v>0</v>
      </c>
      <c r="U47" s="174">
        <v>0</v>
      </c>
      <c r="V47" s="277">
        <v>0</v>
      </c>
    </row>
    <row r="48" spans="1:22" ht="15" customHeight="1" x14ac:dyDescent="0.2">
      <c r="A48" s="57">
        <v>42</v>
      </c>
      <c r="B48" s="58" t="s">
        <v>224</v>
      </c>
      <c r="C48" s="174">
        <v>0</v>
      </c>
      <c r="D48" s="174">
        <v>0</v>
      </c>
      <c r="E48" s="174">
        <v>0</v>
      </c>
      <c r="F48" s="174">
        <v>0</v>
      </c>
      <c r="G48" s="277">
        <v>0</v>
      </c>
      <c r="H48" s="174">
        <v>0</v>
      </c>
      <c r="I48" s="174">
        <v>0</v>
      </c>
      <c r="J48" s="174">
        <v>0</v>
      </c>
      <c r="K48" s="174">
        <v>0</v>
      </c>
      <c r="L48" s="277">
        <v>0</v>
      </c>
      <c r="M48" s="174">
        <v>0</v>
      </c>
      <c r="N48" s="174">
        <v>0</v>
      </c>
      <c r="O48" s="174">
        <v>0</v>
      </c>
      <c r="P48" s="174">
        <v>0</v>
      </c>
      <c r="Q48" s="277">
        <v>0</v>
      </c>
      <c r="R48" s="174">
        <v>0</v>
      </c>
      <c r="S48" s="174">
        <v>0</v>
      </c>
      <c r="T48" s="174">
        <v>0</v>
      </c>
      <c r="U48" s="174">
        <v>0</v>
      </c>
      <c r="V48" s="277">
        <v>0</v>
      </c>
    </row>
    <row r="49" spans="1:22" ht="15" customHeight="1" x14ac:dyDescent="0.2">
      <c r="A49" s="57">
        <v>43</v>
      </c>
      <c r="B49" s="58" t="s">
        <v>73</v>
      </c>
      <c r="C49" s="174">
        <v>0</v>
      </c>
      <c r="D49" s="174">
        <v>0</v>
      </c>
      <c r="E49" s="174">
        <v>0</v>
      </c>
      <c r="F49" s="174">
        <v>0</v>
      </c>
      <c r="G49" s="277">
        <v>0</v>
      </c>
      <c r="H49" s="174">
        <v>0</v>
      </c>
      <c r="I49" s="174">
        <v>0</v>
      </c>
      <c r="J49" s="174">
        <v>0</v>
      </c>
      <c r="K49" s="174">
        <v>0</v>
      </c>
      <c r="L49" s="277">
        <v>0</v>
      </c>
      <c r="M49" s="174">
        <v>0</v>
      </c>
      <c r="N49" s="174">
        <v>0</v>
      </c>
      <c r="O49" s="174">
        <v>0</v>
      </c>
      <c r="P49" s="174">
        <v>0</v>
      </c>
      <c r="Q49" s="277">
        <v>0</v>
      </c>
      <c r="R49" s="174">
        <v>0</v>
      </c>
      <c r="S49" s="174">
        <v>0</v>
      </c>
      <c r="T49" s="174">
        <v>0</v>
      </c>
      <c r="U49" s="174">
        <v>0</v>
      </c>
      <c r="V49" s="277">
        <v>0</v>
      </c>
    </row>
    <row r="50" spans="1:22" ht="15" customHeight="1" x14ac:dyDescent="0.2">
      <c r="A50" s="57">
        <v>44</v>
      </c>
      <c r="B50" s="58" t="s">
        <v>225</v>
      </c>
      <c r="C50" s="174">
        <v>0</v>
      </c>
      <c r="D50" s="174">
        <v>0</v>
      </c>
      <c r="E50" s="174">
        <v>0</v>
      </c>
      <c r="F50" s="174">
        <v>0</v>
      </c>
      <c r="G50" s="277">
        <v>0</v>
      </c>
      <c r="H50" s="174">
        <v>0</v>
      </c>
      <c r="I50" s="174">
        <v>0</v>
      </c>
      <c r="J50" s="174">
        <v>7</v>
      </c>
      <c r="K50" s="174">
        <v>24.62</v>
      </c>
      <c r="L50" s="277">
        <v>0</v>
      </c>
      <c r="M50" s="174">
        <v>0</v>
      </c>
      <c r="N50" s="174">
        <v>0</v>
      </c>
      <c r="O50" s="174">
        <v>0</v>
      </c>
      <c r="P50" s="174">
        <v>0</v>
      </c>
      <c r="Q50" s="277">
        <v>0</v>
      </c>
      <c r="R50" s="174">
        <v>0</v>
      </c>
      <c r="S50" s="174">
        <v>0</v>
      </c>
      <c r="T50" s="174">
        <v>0</v>
      </c>
      <c r="U50" s="174">
        <v>0</v>
      </c>
      <c r="V50" s="277">
        <v>0</v>
      </c>
    </row>
    <row r="51" spans="1:22" ht="15" customHeight="1" x14ac:dyDescent="0.2">
      <c r="A51" s="57">
        <v>45</v>
      </c>
      <c r="B51" s="58" t="s">
        <v>226</v>
      </c>
      <c r="C51" s="174">
        <v>0</v>
      </c>
      <c r="D51" s="174">
        <v>0</v>
      </c>
      <c r="E51" s="174">
        <v>0</v>
      </c>
      <c r="F51" s="174">
        <v>0</v>
      </c>
      <c r="G51" s="277">
        <v>0</v>
      </c>
      <c r="H51" s="174">
        <v>0</v>
      </c>
      <c r="I51" s="174">
        <v>0</v>
      </c>
      <c r="J51" s="174">
        <v>0</v>
      </c>
      <c r="K51" s="174">
        <v>0</v>
      </c>
      <c r="L51" s="277">
        <v>0</v>
      </c>
      <c r="M51" s="174">
        <v>0</v>
      </c>
      <c r="N51" s="174">
        <v>0</v>
      </c>
      <c r="O51" s="174">
        <v>0</v>
      </c>
      <c r="P51" s="174">
        <v>0</v>
      </c>
      <c r="Q51" s="277">
        <v>0</v>
      </c>
      <c r="R51" s="174">
        <v>0</v>
      </c>
      <c r="S51" s="174">
        <v>0</v>
      </c>
      <c r="T51" s="174">
        <v>0</v>
      </c>
      <c r="U51" s="174">
        <v>0</v>
      </c>
      <c r="V51" s="277">
        <v>0</v>
      </c>
    </row>
    <row r="52" spans="1:22" s="183" customFormat="1" ht="15" customHeight="1" x14ac:dyDescent="0.2">
      <c r="A52" s="57">
        <v>46</v>
      </c>
      <c r="B52" s="58" t="s">
        <v>227</v>
      </c>
      <c r="C52" s="174">
        <v>0</v>
      </c>
      <c r="D52" s="174">
        <v>0</v>
      </c>
      <c r="E52" s="174">
        <v>0</v>
      </c>
      <c r="F52" s="174">
        <v>0</v>
      </c>
      <c r="G52" s="277">
        <v>0</v>
      </c>
      <c r="H52" s="174">
        <v>0</v>
      </c>
      <c r="I52" s="174">
        <v>0</v>
      </c>
      <c r="J52" s="174">
        <v>0</v>
      </c>
      <c r="K52" s="174">
        <v>0</v>
      </c>
      <c r="L52" s="277">
        <v>0</v>
      </c>
      <c r="M52" s="174">
        <v>0</v>
      </c>
      <c r="N52" s="174">
        <v>0</v>
      </c>
      <c r="O52" s="174">
        <v>0</v>
      </c>
      <c r="P52" s="174">
        <v>0</v>
      </c>
      <c r="Q52" s="277">
        <v>0</v>
      </c>
      <c r="R52" s="174">
        <v>0</v>
      </c>
      <c r="S52" s="174">
        <v>0</v>
      </c>
      <c r="T52" s="174">
        <v>0</v>
      </c>
      <c r="U52" s="174">
        <v>0</v>
      </c>
      <c r="V52" s="277">
        <v>0</v>
      </c>
    </row>
    <row r="53" spans="1:22" ht="15" customHeight="1" x14ac:dyDescent="0.2">
      <c r="A53" s="57">
        <v>47</v>
      </c>
      <c r="B53" s="58" t="s">
        <v>77</v>
      </c>
      <c r="C53" s="174">
        <v>0</v>
      </c>
      <c r="D53" s="174">
        <v>0</v>
      </c>
      <c r="E53" s="174">
        <v>0</v>
      </c>
      <c r="F53" s="174">
        <v>0</v>
      </c>
      <c r="G53" s="277">
        <v>0</v>
      </c>
      <c r="H53" s="174">
        <v>0</v>
      </c>
      <c r="I53" s="174">
        <v>0</v>
      </c>
      <c r="J53" s="174">
        <v>0</v>
      </c>
      <c r="K53" s="174">
        <v>0</v>
      </c>
      <c r="L53" s="277">
        <v>0</v>
      </c>
      <c r="M53" s="174">
        <v>0</v>
      </c>
      <c r="N53" s="174">
        <v>0</v>
      </c>
      <c r="O53" s="174">
        <v>0</v>
      </c>
      <c r="P53" s="174">
        <v>0</v>
      </c>
      <c r="Q53" s="277">
        <v>0</v>
      </c>
      <c r="R53" s="174">
        <v>0</v>
      </c>
      <c r="S53" s="174">
        <v>0</v>
      </c>
      <c r="T53" s="174">
        <v>0</v>
      </c>
      <c r="U53" s="174">
        <v>0</v>
      </c>
      <c r="V53" s="277">
        <v>0</v>
      </c>
    </row>
    <row r="54" spans="1:22" ht="15" customHeight="1" x14ac:dyDescent="0.2">
      <c r="A54" s="57">
        <v>48</v>
      </c>
      <c r="B54" s="58" t="s">
        <v>228</v>
      </c>
      <c r="C54" s="174">
        <v>0</v>
      </c>
      <c r="D54" s="174">
        <v>0</v>
      </c>
      <c r="E54" s="174">
        <v>0</v>
      </c>
      <c r="F54" s="174">
        <v>0</v>
      </c>
      <c r="G54" s="277">
        <v>0</v>
      </c>
      <c r="H54" s="174">
        <v>0</v>
      </c>
      <c r="I54" s="174">
        <v>0</v>
      </c>
      <c r="J54" s="174">
        <v>0</v>
      </c>
      <c r="K54" s="174">
        <v>0</v>
      </c>
      <c r="L54" s="277">
        <v>0</v>
      </c>
      <c r="M54" s="174">
        <v>0</v>
      </c>
      <c r="N54" s="174">
        <v>0</v>
      </c>
      <c r="O54" s="174">
        <v>0</v>
      </c>
      <c r="P54" s="174">
        <v>0</v>
      </c>
      <c r="Q54" s="277">
        <v>0</v>
      </c>
      <c r="R54" s="174">
        <v>0</v>
      </c>
      <c r="S54" s="174">
        <v>0</v>
      </c>
      <c r="T54" s="174">
        <v>0</v>
      </c>
      <c r="U54" s="174">
        <v>0</v>
      </c>
      <c r="V54" s="277">
        <v>0</v>
      </c>
    </row>
    <row r="55" spans="1:22" ht="15" customHeight="1" x14ac:dyDescent="0.2">
      <c r="A55" s="57">
        <v>49</v>
      </c>
      <c r="B55" s="58" t="s">
        <v>76</v>
      </c>
      <c r="C55" s="174">
        <v>0</v>
      </c>
      <c r="D55" s="174">
        <v>0</v>
      </c>
      <c r="E55" s="174">
        <v>0</v>
      </c>
      <c r="F55" s="174">
        <v>0</v>
      </c>
      <c r="G55" s="277">
        <v>0</v>
      </c>
      <c r="H55" s="174">
        <v>0</v>
      </c>
      <c r="I55" s="174">
        <v>0</v>
      </c>
      <c r="J55" s="174">
        <v>0</v>
      </c>
      <c r="K55" s="174">
        <v>0</v>
      </c>
      <c r="L55" s="277">
        <v>0</v>
      </c>
      <c r="M55" s="174">
        <v>0</v>
      </c>
      <c r="N55" s="174">
        <v>0</v>
      </c>
      <c r="O55" s="174">
        <v>0</v>
      </c>
      <c r="P55" s="174">
        <v>0</v>
      </c>
      <c r="Q55" s="277">
        <v>0</v>
      </c>
      <c r="R55" s="174">
        <v>0</v>
      </c>
      <c r="S55" s="174">
        <v>0</v>
      </c>
      <c r="T55" s="174">
        <v>0</v>
      </c>
      <c r="U55" s="174">
        <v>0</v>
      </c>
      <c r="V55" s="277">
        <v>0</v>
      </c>
    </row>
    <row r="56" spans="1:22" s="183" customFormat="1" ht="15" customHeight="1" x14ac:dyDescent="0.2">
      <c r="A56" s="344" t="s">
        <v>348</v>
      </c>
      <c r="B56" s="60" t="s">
        <v>289</v>
      </c>
      <c r="C56" s="176">
        <f>SUM(C34:C55)</f>
        <v>48</v>
      </c>
      <c r="D56" s="176">
        <f t="shared" ref="D56:U56" si="5">SUM(D34:D55)</f>
        <v>8.2799999999999994</v>
      </c>
      <c r="E56" s="176">
        <f t="shared" si="5"/>
        <v>161</v>
      </c>
      <c r="F56" s="176">
        <f t="shared" si="5"/>
        <v>337.75</v>
      </c>
      <c r="G56" s="280">
        <f t="shared" si="0"/>
        <v>2.4515173945225754</v>
      </c>
      <c r="H56" s="176">
        <f t="shared" si="5"/>
        <v>0</v>
      </c>
      <c r="I56" s="176">
        <f t="shared" si="5"/>
        <v>0</v>
      </c>
      <c r="J56" s="176">
        <f t="shared" si="5"/>
        <v>7</v>
      </c>
      <c r="K56" s="176">
        <f t="shared" si="5"/>
        <v>24.62</v>
      </c>
      <c r="L56" s="280">
        <f t="shared" si="1"/>
        <v>0</v>
      </c>
      <c r="M56" s="176">
        <f t="shared" si="5"/>
        <v>0</v>
      </c>
      <c r="N56" s="176">
        <f t="shared" si="5"/>
        <v>0</v>
      </c>
      <c r="O56" s="176">
        <f t="shared" si="5"/>
        <v>0</v>
      </c>
      <c r="P56" s="176">
        <f t="shared" si="5"/>
        <v>0</v>
      </c>
      <c r="Q56" s="280">
        <v>0</v>
      </c>
      <c r="R56" s="176">
        <f t="shared" si="5"/>
        <v>405</v>
      </c>
      <c r="S56" s="176">
        <f t="shared" si="5"/>
        <v>254</v>
      </c>
      <c r="T56" s="176">
        <f t="shared" si="5"/>
        <v>5909</v>
      </c>
      <c r="U56" s="176">
        <f t="shared" si="5"/>
        <v>3299.5299999999997</v>
      </c>
      <c r="V56" s="280">
        <f t="shared" si="2"/>
        <v>7.6980660882004415</v>
      </c>
    </row>
    <row r="57" spans="1:22" ht="15" customHeight="1" x14ac:dyDescent="0.2">
      <c r="A57" s="57">
        <v>50</v>
      </c>
      <c r="B57" s="58" t="s">
        <v>46</v>
      </c>
      <c r="C57" s="174">
        <v>829</v>
      </c>
      <c r="D57" s="174">
        <v>503</v>
      </c>
      <c r="E57" s="174">
        <v>3569</v>
      </c>
      <c r="F57" s="174">
        <v>2358</v>
      </c>
      <c r="G57" s="277">
        <f t="shared" si="0"/>
        <v>21.331636980491943</v>
      </c>
      <c r="H57" s="174">
        <v>22</v>
      </c>
      <c r="I57" s="174">
        <v>29</v>
      </c>
      <c r="J57" s="174">
        <v>286</v>
      </c>
      <c r="K57" s="174">
        <v>915</v>
      </c>
      <c r="L57" s="277">
        <f t="shared" si="1"/>
        <v>3.1693989071038251</v>
      </c>
      <c r="M57" s="174">
        <v>13019</v>
      </c>
      <c r="N57" s="174">
        <v>5231</v>
      </c>
      <c r="O57" s="174">
        <v>71636</v>
      </c>
      <c r="P57" s="174">
        <v>56698</v>
      </c>
      <c r="Q57" s="277">
        <f t="shared" si="3"/>
        <v>9.2260749938269431</v>
      </c>
      <c r="R57" s="174">
        <v>3760</v>
      </c>
      <c r="S57" s="174">
        <v>1196</v>
      </c>
      <c r="T57" s="174">
        <v>13186</v>
      </c>
      <c r="U57" s="174">
        <v>3544</v>
      </c>
      <c r="V57" s="277">
        <f t="shared" si="2"/>
        <v>33.747178329571106</v>
      </c>
    </row>
    <row r="58" spans="1:22" s="183" customFormat="1" ht="15" customHeight="1" x14ac:dyDescent="0.2">
      <c r="A58" s="57">
        <v>51</v>
      </c>
      <c r="B58" s="58" t="s">
        <v>229</v>
      </c>
      <c r="C58" s="174">
        <v>4896</v>
      </c>
      <c r="D58" s="174">
        <v>1619</v>
      </c>
      <c r="E58" s="174">
        <v>10688</v>
      </c>
      <c r="F58" s="174">
        <v>3922</v>
      </c>
      <c r="G58" s="277">
        <f t="shared" si="0"/>
        <v>41.279959204487504</v>
      </c>
      <c r="H58" s="174">
        <v>21</v>
      </c>
      <c r="I58" s="174">
        <v>18</v>
      </c>
      <c r="J58" s="174">
        <v>71</v>
      </c>
      <c r="K58" s="174">
        <v>143</v>
      </c>
      <c r="L58" s="277">
        <f t="shared" si="1"/>
        <v>12.587412587412587</v>
      </c>
      <c r="M58" s="174">
        <v>11636</v>
      </c>
      <c r="N58" s="174">
        <v>8354</v>
      </c>
      <c r="O58" s="174">
        <v>56314</v>
      </c>
      <c r="P58" s="174">
        <v>44142</v>
      </c>
      <c r="Q58" s="277">
        <f t="shared" si="3"/>
        <v>18.925286575143854</v>
      </c>
      <c r="R58" s="174">
        <v>1013</v>
      </c>
      <c r="S58" s="174">
        <v>398</v>
      </c>
      <c r="T58" s="174">
        <v>5624</v>
      </c>
      <c r="U58" s="174">
        <v>1212</v>
      </c>
      <c r="V58" s="277">
        <f t="shared" si="2"/>
        <v>32.838283828382835</v>
      </c>
    </row>
    <row r="59" spans="1:22" s="183" customFormat="1" ht="15" customHeight="1" x14ac:dyDescent="0.2">
      <c r="A59" s="57">
        <v>52</v>
      </c>
      <c r="B59" s="58" t="s">
        <v>52</v>
      </c>
      <c r="C59" s="174">
        <v>529</v>
      </c>
      <c r="D59" s="174">
        <v>298.20999999999998</v>
      </c>
      <c r="E59" s="174">
        <v>1892</v>
      </c>
      <c r="F59" s="174">
        <v>3479.41</v>
      </c>
      <c r="G59" s="277">
        <f t="shared" si="0"/>
        <v>8.5707059530207701</v>
      </c>
      <c r="H59" s="174">
        <v>171</v>
      </c>
      <c r="I59" s="174">
        <v>335.01</v>
      </c>
      <c r="J59" s="174">
        <v>1723</v>
      </c>
      <c r="K59" s="174">
        <v>1319.21</v>
      </c>
      <c r="L59" s="277">
        <f t="shared" si="1"/>
        <v>25.394743823955245</v>
      </c>
      <c r="M59" s="174">
        <v>1664</v>
      </c>
      <c r="N59" s="174">
        <v>1180.75</v>
      </c>
      <c r="O59" s="174">
        <v>60345</v>
      </c>
      <c r="P59" s="174">
        <v>45864.95</v>
      </c>
      <c r="Q59" s="277">
        <f t="shared" si="3"/>
        <v>2.5744059461527815</v>
      </c>
      <c r="R59" s="174">
        <v>4981</v>
      </c>
      <c r="S59" s="174">
        <v>1089</v>
      </c>
      <c r="T59" s="174">
        <v>17651</v>
      </c>
      <c r="U59" s="174">
        <v>16226.05</v>
      </c>
      <c r="V59" s="277">
        <f t="shared" si="2"/>
        <v>6.7114300769441737</v>
      </c>
    </row>
    <row r="60" spans="1:22" s="183" customFormat="1" ht="15" customHeight="1" x14ac:dyDescent="0.2">
      <c r="A60" s="281" t="s">
        <v>348</v>
      </c>
      <c r="B60" s="282" t="s">
        <v>295</v>
      </c>
      <c r="C60" s="176">
        <f>SUM(C57:C59)</f>
        <v>6254</v>
      </c>
      <c r="D60" s="176">
        <f t="shared" ref="D60:U60" si="6">SUM(D57:D59)</f>
        <v>2420.21</v>
      </c>
      <c r="E60" s="176">
        <f t="shared" si="6"/>
        <v>16149</v>
      </c>
      <c r="F60" s="176">
        <f t="shared" si="6"/>
        <v>9759.41</v>
      </c>
      <c r="G60" s="280">
        <f t="shared" si="0"/>
        <v>24.798732710276543</v>
      </c>
      <c r="H60" s="176">
        <f t="shared" si="6"/>
        <v>214</v>
      </c>
      <c r="I60" s="176">
        <f t="shared" si="6"/>
        <v>382.01</v>
      </c>
      <c r="J60" s="176">
        <f t="shared" si="6"/>
        <v>2080</v>
      </c>
      <c r="K60" s="176">
        <f t="shared" si="6"/>
        <v>2377.21</v>
      </c>
      <c r="L60" s="280">
        <f t="shared" si="1"/>
        <v>16.069678320383979</v>
      </c>
      <c r="M60" s="176">
        <f t="shared" si="6"/>
        <v>26319</v>
      </c>
      <c r="N60" s="176">
        <f t="shared" si="6"/>
        <v>14765.75</v>
      </c>
      <c r="O60" s="176">
        <f t="shared" si="6"/>
        <v>188295</v>
      </c>
      <c r="P60" s="176">
        <f t="shared" si="6"/>
        <v>146704.95000000001</v>
      </c>
      <c r="Q60" s="280">
        <f t="shared" si="3"/>
        <v>10.064929642796647</v>
      </c>
      <c r="R60" s="176">
        <f t="shared" si="6"/>
        <v>9754</v>
      </c>
      <c r="S60" s="176">
        <f t="shared" si="6"/>
        <v>2683</v>
      </c>
      <c r="T60" s="176">
        <f t="shared" si="6"/>
        <v>36461</v>
      </c>
      <c r="U60" s="176">
        <f t="shared" si="6"/>
        <v>20982.05</v>
      </c>
      <c r="V60" s="280">
        <f t="shared" si="2"/>
        <v>12.787120419596752</v>
      </c>
    </row>
    <row r="61" spans="1:22" ht="15" customHeight="1" x14ac:dyDescent="0.2">
      <c r="A61" s="278">
        <v>53</v>
      </c>
      <c r="B61" s="279" t="s">
        <v>290</v>
      </c>
      <c r="C61" s="174">
        <v>0</v>
      </c>
      <c r="D61" s="174">
        <v>0</v>
      </c>
      <c r="E61" s="174">
        <v>0</v>
      </c>
      <c r="F61" s="174">
        <v>0</v>
      </c>
      <c r="G61" s="277">
        <v>0</v>
      </c>
      <c r="H61" s="174">
        <v>0</v>
      </c>
      <c r="I61" s="174">
        <v>0</v>
      </c>
      <c r="J61" s="174">
        <v>0</v>
      </c>
      <c r="K61" s="174">
        <v>0</v>
      </c>
      <c r="L61" s="277">
        <v>0</v>
      </c>
      <c r="M61" s="174">
        <v>0</v>
      </c>
      <c r="N61" s="174">
        <v>0</v>
      </c>
      <c r="O61" s="174">
        <v>0</v>
      </c>
      <c r="P61" s="174">
        <v>0</v>
      </c>
      <c r="Q61" s="277">
        <v>0</v>
      </c>
      <c r="R61" s="174">
        <v>0</v>
      </c>
      <c r="S61" s="174">
        <v>0</v>
      </c>
      <c r="T61" s="174">
        <v>11201</v>
      </c>
      <c r="U61" s="174">
        <v>1268.6199999999999</v>
      </c>
      <c r="V61" s="277">
        <f t="shared" si="2"/>
        <v>0</v>
      </c>
    </row>
    <row r="62" spans="1:22" s="183" customFormat="1" ht="15" customHeight="1" x14ac:dyDescent="0.2">
      <c r="A62" s="281" t="s">
        <v>348</v>
      </c>
      <c r="B62" s="282" t="s">
        <v>291</v>
      </c>
      <c r="C62" s="176">
        <f>C61</f>
        <v>0</v>
      </c>
      <c r="D62" s="176">
        <f t="shared" ref="D62:U62" si="7">D61</f>
        <v>0</v>
      </c>
      <c r="E62" s="176">
        <f t="shared" si="7"/>
        <v>0</v>
      </c>
      <c r="F62" s="176">
        <f t="shared" si="7"/>
        <v>0</v>
      </c>
      <c r="G62" s="280">
        <v>0</v>
      </c>
      <c r="H62" s="176">
        <f t="shared" si="7"/>
        <v>0</v>
      </c>
      <c r="I62" s="176">
        <f t="shared" si="7"/>
        <v>0</v>
      </c>
      <c r="J62" s="176">
        <f t="shared" si="7"/>
        <v>0</v>
      </c>
      <c r="K62" s="176">
        <f t="shared" si="7"/>
        <v>0</v>
      </c>
      <c r="L62" s="280">
        <v>0</v>
      </c>
      <c r="M62" s="176">
        <f t="shared" si="7"/>
        <v>0</v>
      </c>
      <c r="N62" s="176">
        <f t="shared" si="7"/>
        <v>0</v>
      </c>
      <c r="O62" s="176">
        <f t="shared" si="7"/>
        <v>0</v>
      </c>
      <c r="P62" s="176">
        <f t="shared" si="7"/>
        <v>0</v>
      </c>
      <c r="Q62" s="280">
        <v>0</v>
      </c>
      <c r="R62" s="176">
        <f t="shared" si="7"/>
        <v>0</v>
      </c>
      <c r="S62" s="176">
        <f t="shared" si="7"/>
        <v>0</v>
      </c>
      <c r="T62" s="176">
        <f t="shared" si="7"/>
        <v>11201</v>
      </c>
      <c r="U62" s="176">
        <f t="shared" si="7"/>
        <v>1268.6199999999999</v>
      </c>
      <c r="V62" s="280">
        <f t="shared" si="2"/>
        <v>0</v>
      </c>
    </row>
    <row r="63" spans="1:22" s="183" customFormat="1" ht="15" customHeight="1" x14ac:dyDescent="0.2">
      <c r="A63" s="281" t="s">
        <v>348</v>
      </c>
      <c r="B63" s="282" t="s">
        <v>292</v>
      </c>
      <c r="C63" s="176">
        <f>C62+C60+C56+C33</f>
        <v>21578</v>
      </c>
      <c r="D63" s="176">
        <f t="shared" ref="D63:U63" si="8">D62+D60+D56+D33</f>
        <v>12406.710000000001</v>
      </c>
      <c r="E63" s="176">
        <f t="shared" si="8"/>
        <v>83718</v>
      </c>
      <c r="F63" s="176">
        <f t="shared" si="8"/>
        <v>184630.27000000002</v>
      </c>
      <c r="G63" s="280">
        <f t="shared" si="0"/>
        <v>6.7197594413960395</v>
      </c>
      <c r="H63" s="176">
        <f t="shared" si="8"/>
        <v>2043</v>
      </c>
      <c r="I63" s="176">
        <f t="shared" si="8"/>
        <v>5123.17</v>
      </c>
      <c r="J63" s="176">
        <f t="shared" si="8"/>
        <v>16853</v>
      </c>
      <c r="K63" s="176">
        <f t="shared" si="8"/>
        <v>54636.65</v>
      </c>
      <c r="L63" s="280">
        <f t="shared" si="1"/>
        <v>9.3768011032887255</v>
      </c>
      <c r="M63" s="176">
        <f t="shared" si="8"/>
        <v>61179</v>
      </c>
      <c r="N63" s="176">
        <f t="shared" si="8"/>
        <v>38270.119999999995</v>
      </c>
      <c r="O63" s="176">
        <f t="shared" si="8"/>
        <v>551726</v>
      </c>
      <c r="P63" s="176">
        <f t="shared" si="8"/>
        <v>415610.77999999997</v>
      </c>
      <c r="Q63" s="280">
        <f t="shared" si="3"/>
        <v>9.2081634648648905</v>
      </c>
      <c r="R63" s="176">
        <f t="shared" si="8"/>
        <v>15035</v>
      </c>
      <c r="S63" s="176">
        <f t="shared" si="8"/>
        <v>6288.93</v>
      </c>
      <c r="T63" s="176">
        <f t="shared" si="8"/>
        <v>79568</v>
      </c>
      <c r="U63" s="176">
        <f t="shared" si="8"/>
        <v>46252.84</v>
      </c>
      <c r="V63" s="280">
        <f t="shared" si="2"/>
        <v>13.596851566303821</v>
      </c>
    </row>
    <row r="64" spans="1:22" x14ac:dyDescent="0.2">
      <c r="E64" s="416" t="s">
        <v>1228</v>
      </c>
    </row>
    <row r="70" spans="13:13" x14ac:dyDescent="0.2">
      <c r="M70" s="265"/>
    </row>
  </sheetData>
  <mergeCells count="19">
    <mergeCell ref="W6:X9"/>
    <mergeCell ref="N3:O3"/>
    <mergeCell ref="O4:P4"/>
    <mergeCell ref="E4:F4"/>
    <mergeCell ref="H4:I4"/>
    <mergeCell ref="R4:S4"/>
    <mergeCell ref="Q4:Q5"/>
    <mergeCell ref="J4:K4"/>
    <mergeCell ref="M4:N4"/>
    <mergeCell ref="T4:U4"/>
    <mergeCell ref="G4:G5"/>
    <mergeCell ref="L4:L5"/>
    <mergeCell ref="V4:V5"/>
    <mergeCell ref="J3:K3"/>
    <mergeCell ref="A1:V1"/>
    <mergeCell ref="A2:V2"/>
    <mergeCell ref="A4:A5"/>
    <mergeCell ref="B4:B5"/>
    <mergeCell ref="C4:D4"/>
  </mergeCells>
  <conditionalFormatting sqref="J3">
    <cfRule type="cellIs" dxfId="73" priority="18" operator="lessThan">
      <formula>0</formula>
    </cfRule>
  </conditionalFormatting>
  <conditionalFormatting sqref="P3">
    <cfRule type="cellIs" dxfId="72" priority="17" operator="lessThan">
      <formula>0</formula>
    </cfRule>
  </conditionalFormatting>
  <conditionalFormatting sqref="N3">
    <cfRule type="cellIs" dxfId="71" priority="16" operator="lessThan">
      <formula>0</formula>
    </cfRule>
  </conditionalFormatting>
  <conditionalFormatting sqref="B6">
    <cfRule type="duplicateValues" dxfId="70" priority="10"/>
  </conditionalFormatting>
  <conditionalFormatting sqref="B22">
    <cfRule type="duplicateValues" dxfId="69" priority="11"/>
  </conditionalFormatting>
  <conditionalFormatting sqref="B33:B34 B26:B30">
    <cfRule type="duplicateValues" dxfId="68" priority="12"/>
  </conditionalFormatting>
  <conditionalFormatting sqref="B52">
    <cfRule type="duplicateValues" dxfId="67" priority="13"/>
  </conditionalFormatting>
  <conditionalFormatting sqref="B56">
    <cfRule type="duplicateValues" dxfId="66" priority="14"/>
  </conditionalFormatting>
  <conditionalFormatting sqref="B58">
    <cfRule type="duplicateValues" dxfId="65" priority="15"/>
  </conditionalFormatting>
  <conditionalFormatting sqref="G1:G1048576">
    <cfRule type="cellIs" dxfId="64" priority="9" stopIfTrue="1" operator="greaterThan">
      <formula>100</formula>
    </cfRule>
  </conditionalFormatting>
  <conditionalFormatting sqref="L1:L1048576">
    <cfRule type="cellIs" dxfId="63" priority="7" stopIfTrue="1" operator="greaterThan">
      <formula>100</formula>
    </cfRule>
  </conditionalFormatting>
  <conditionalFormatting sqref="Q1:Q1048576">
    <cfRule type="cellIs" dxfId="62" priority="5" stopIfTrue="1" operator="greaterThan">
      <formula>100</formula>
    </cfRule>
  </conditionalFormatting>
  <conditionalFormatting sqref="V1:V1048576">
    <cfRule type="cellIs" dxfId="61" priority="3" stopIfTrue="1" operator="greaterThan">
      <formula>100</formula>
    </cfRule>
  </conditionalFormatting>
  <pageMargins left="0.25" right="0.25" top="0.25" bottom="0.25" header="0.3" footer="0.3"/>
  <pageSetup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 tint="-0.499984740745262"/>
  </sheetPr>
  <dimension ref="A1:M69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5.42578125" style="140" customWidth="1"/>
    <col min="2" max="2" width="21.7109375" style="139" customWidth="1"/>
    <col min="3" max="3" width="8.140625" style="137" customWidth="1"/>
    <col min="4" max="5" width="9" style="137" bestFit="1" customWidth="1"/>
    <col min="6" max="6" width="8.85546875" style="137" customWidth="1"/>
    <col min="7" max="7" width="9.7109375" style="137" customWidth="1"/>
    <col min="8" max="8" width="9" style="137" bestFit="1" customWidth="1"/>
    <col min="9" max="9" width="7.85546875" style="130" customWidth="1"/>
    <col min="10" max="10" width="8.28515625" style="130" customWidth="1"/>
    <col min="11" max="11" width="8.7109375" style="130" customWidth="1"/>
    <col min="12" max="13" width="9.140625" style="139" customWidth="1"/>
    <col min="14" max="16384" width="9.140625" style="139"/>
  </cols>
  <sheetData>
    <row r="1" spans="1:13" ht="14.25" customHeight="1" x14ac:dyDescent="0.2">
      <c r="A1" s="460" t="s">
        <v>350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</row>
    <row r="2" spans="1:13" ht="14.25" x14ac:dyDescent="0.2">
      <c r="A2" s="456" t="s">
        <v>241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</row>
    <row r="3" spans="1:13" ht="14.25" x14ac:dyDescent="0.2">
      <c r="B3" s="84" t="s">
        <v>12</v>
      </c>
      <c r="J3" s="466" t="s">
        <v>15</v>
      </c>
      <c r="K3" s="466"/>
    </row>
    <row r="4" spans="1:13" s="135" customFormat="1" ht="15" customHeight="1" x14ac:dyDescent="0.2">
      <c r="A4" s="461" t="s">
        <v>2</v>
      </c>
      <c r="B4" s="461" t="s">
        <v>3</v>
      </c>
      <c r="C4" s="463" t="s">
        <v>8</v>
      </c>
      <c r="D4" s="463"/>
      <c r="E4" s="464"/>
      <c r="F4" s="465" t="s">
        <v>9</v>
      </c>
      <c r="G4" s="463"/>
      <c r="H4" s="464"/>
      <c r="I4" s="457" t="s">
        <v>10</v>
      </c>
      <c r="J4" s="458"/>
      <c r="K4" s="459"/>
    </row>
    <row r="5" spans="1:13" ht="25.5" x14ac:dyDescent="0.2">
      <c r="A5" s="462"/>
      <c r="B5" s="462"/>
      <c r="C5" s="138" t="s">
        <v>4</v>
      </c>
      <c r="D5" s="327" t="s">
        <v>11</v>
      </c>
      <c r="E5" s="327" t="s">
        <v>6</v>
      </c>
      <c r="F5" s="327" t="s">
        <v>4</v>
      </c>
      <c r="G5" s="327" t="s">
        <v>11</v>
      </c>
      <c r="H5" s="327" t="s">
        <v>6</v>
      </c>
      <c r="I5" s="324" t="s">
        <v>4</v>
      </c>
      <c r="J5" s="324" t="s">
        <v>11</v>
      </c>
      <c r="K5" s="324" t="s">
        <v>6</v>
      </c>
    </row>
    <row r="6" spans="1:13" ht="13.5" x14ac:dyDescent="0.2">
      <c r="A6" s="63">
        <v>1</v>
      </c>
      <c r="B6" s="64" t="s">
        <v>55</v>
      </c>
      <c r="C6" s="125">
        <v>191679</v>
      </c>
      <c r="D6" s="125">
        <v>726910</v>
      </c>
      <c r="E6" s="125">
        <v>184914</v>
      </c>
      <c r="F6" s="125">
        <v>151320</v>
      </c>
      <c r="G6" s="125">
        <v>189631</v>
      </c>
      <c r="H6" s="125">
        <v>380200</v>
      </c>
      <c r="I6" s="126">
        <f>F6*100/C6</f>
        <v>78.944485311379964</v>
      </c>
      <c r="J6" s="126">
        <f t="shared" ref="J6:K21" si="0">G6*100/D6</f>
        <v>26.087273527671925</v>
      </c>
      <c r="K6" s="126">
        <f t="shared" si="0"/>
        <v>205.60909395719091</v>
      </c>
    </row>
    <row r="7" spans="1:13" ht="13.5" x14ac:dyDescent="0.2">
      <c r="A7" s="63">
        <v>2</v>
      </c>
      <c r="B7" s="64" t="s">
        <v>56</v>
      </c>
      <c r="C7" s="125">
        <v>128.94</v>
      </c>
      <c r="D7" s="125">
        <v>6885.56</v>
      </c>
      <c r="E7" s="125">
        <v>121938.23</v>
      </c>
      <c r="F7" s="125">
        <v>5.45</v>
      </c>
      <c r="G7" s="125">
        <v>5791.96</v>
      </c>
      <c r="H7" s="125">
        <v>58004.77</v>
      </c>
      <c r="I7" s="126">
        <v>0</v>
      </c>
      <c r="J7" s="126">
        <f t="shared" si="0"/>
        <v>84.117486449903851</v>
      </c>
      <c r="K7" s="126">
        <f t="shared" si="0"/>
        <v>47.568978162139963</v>
      </c>
    </row>
    <row r="8" spans="1:13" ht="13.5" x14ac:dyDescent="0.2">
      <c r="A8" s="63">
        <v>3</v>
      </c>
      <c r="B8" s="64" t="s">
        <v>57</v>
      </c>
      <c r="C8" s="125">
        <v>50501</v>
      </c>
      <c r="D8" s="125">
        <v>196479</v>
      </c>
      <c r="E8" s="125">
        <v>709663</v>
      </c>
      <c r="F8" s="125">
        <v>39337</v>
      </c>
      <c r="G8" s="125">
        <v>161916</v>
      </c>
      <c r="H8" s="125">
        <v>489572</v>
      </c>
      <c r="I8" s="126">
        <f t="shared" ref="I8:K63" si="1">F8*100/C8</f>
        <v>77.893507059266156</v>
      </c>
      <c r="J8" s="126">
        <f t="shared" si="0"/>
        <v>82.408807048081471</v>
      </c>
      <c r="K8" s="126">
        <f t="shared" si="0"/>
        <v>68.98654713575317</v>
      </c>
    </row>
    <row r="9" spans="1:13" ht="13.5" x14ac:dyDescent="0.2">
      <c r="A9" s="63">
        <v>4</v>
      </c>
      <c r="B9" s="64" t="s">
        <v>58</v>
      </c>
      <c r="C9" s="125">
        <v>518723</v>
      </c>
      <c r="D9" s="125">
        <v>607570</v>
      </c>
      <c r="E9" s="125">
        <v>1224596</v>
      </c>
      <c r="F9" s="125">
        <v>593980</v>
      </c>
      <c r="G9" s="125">
        <v>428539</v>
      </c>
      <c r="H9" s="125">
        <v>720924</v>
      </c>
      <c r="I9" s="126">
        <f t="shared" si="1"/>
        <v>114.50812861585085</v>
      </c>
      <c r="J9" s="126">
        <f t="shared" si="0"/>
        <v>70.533271886367004</v>
      </c>
      <c r="K9" s="126">
        <f t="shared" si="0"/>
        <v>58.870353977964974</v>
      </c>
      <c r="L9" s="26"/>
      <c r="M9" s="26"/>
    </row>
    <row r="10" spans="1:13" ht="13.5" x14ac:dyDescent="0.2">
      <c r="A10" s="63">
        <v>5</v>
      </c>
      <c r="B10" s="64" t="s">
        <v>59</v>
      </c>
      <c r="C10" s="125">
        <v>152033</v>
      </c>
      <c r="D10" s="125">
        <v>110247</v>
      </c>
      <c r="E10" s="125">
        <v>327434</v>
      </c>
      <c r="F10" s="125">
        <v>91227</v>
      </c>
      <c r="G10" s="125">
        <v>39563</v>
      </c>
      <c r="H10" s="125">
        <v>166746</v>
      </c>
      <c r="I10" s="126">
        <f t="shared" si="1"/>
        <v>60.004735813935135</v>
      </c>
      <c r="J10" s="126">
        <f t="shared" si="0"/>
        <v>35.885783740147126</v>
      </c>
      <c r="K10" s="126">
        <f t="shared" si="0"/>
        <v>50.925071922891334</v>
      </c>
      <c r="L10" s="26"/>
      <c r="M10" s="26"/>
    </row>
    <row r="11" spans="1:13" ht="13.5" x14ac:dyDescent="0.2">
      <c r="A11" s="63">
        <v>6</v>
      </c>
      <c r="B11" s="64" t="s">
        <v>242</v>
      </c>
      <c r="C11" s="125">
        <v>0</v>
      </c>
      <c r="D11" s="125">
        <v>0</v>
      </c>
      <c r="E11" s="125">
        <v>4228</v>
      </c>
      <c r="F11" s="125">
        <v>0</v>
      </c>
      <c r="G11" s="125">
        <v>0</v>
      </c>
      <c r="H11" s="125">
        <v>654</v>
      </c>
      <c r="I11" s="126">
        <v>0</v>
      </c>
      <c r="J11" s="126">
        <v>0</v>
      </c>
      <c r="K11" s="126">
        <f t="shared" si="0"/>
        <v>15.468306527909176</v>
      </c>
      <c r="L11" s="26"/>
      <c r="M11" s="26"/>
    </row>
    <row r="12" spans="1:13" ht="13.5" x14ac:dyDescent="0.2">
      <c r="A12" s="63">
        <v>7</v>
      </c>
      <c r="B12" s="64" t="s">
        <v>60</v>
      </c>
      <c r="C12" s="125">
        <v>35056</v>
      </c>
      <c r="D12" s="125">
        <v>118942</v>
      </c>
      <c r="E12" s="125">
        <v>659221</v>
      </c>
      <c r="F12" s="125">
        <v>30889</v>
      </c>
      <c r="G12" s="125">
        <v>107095</v>
      </c>
      <c r="H12" s="125">
        <v>281170</v>
      </c>
      <c r="I12" s="126">
        <f t="shared" si="1"/>
        <v>88.113304427202195</v>
      </c>
      <c r="J12" s="126">
        <f t="shared" si="0"/>
        <v>90.039683206941191</v>
      </c>
      <c r="K12" s="126">
        <f t="shared" si="0"/>
        <v>42.651857267896503</v>
      </c>
      <c r="L12" s="26"/>
      <c r="M12" s="26"/>
    </row>
    <row r="13" spans="1:13" ht="13.5" x14ac:dyDescent="0.2">
      <c r="A13" s="63">
        <v>8</v>
      </c>
      <c r="B13" s="64" t="s">
        <v>61</v>
      </c>
      <c r="C13" s="125">
        <v>605113</v>
      </c>
      <c r="D13" s="125">
        <v>740176</v>
      </c>
      <c r="E13" s="125">
        <v>1158661</v>
      </c>
      <c r="F13" s="125">
        <v>326705</v>
      </c>
      <c r="G13" s="125">
        <v>354331</v>
      </c>
      <c r="H13" s="125">
        <v>506250</v>
      </c>
      <c r="I13" s="126">
        <f t="shared" si="1"/>
        <v>53.99074222500591</v>
      </c>
      <c r="J13" s="126">
        <f t="shared" si="0"/>
        <v>47.871181989148525</v>
      </c>
      <c r="K13" s="126">
        <f t="shared" si="0"/>
        <v>43.692676287542255</v>
      </c>
      <c r="L13" s="26"/>
      <c r="M13" s="26"/>
    </row>
    <row r="14" spans="1:13" ht="13.5" x14ac:dyDescent="0.2">
      <c r="A14" s="63">
        <v>9</v>
      </c>
      <c r="B14" s="64" t="s">
        <v>48</v>
      </c>
      <c r="C14" s="125">
        <v>9744</v>
      </c>
      <c r="D14" s="125">
        <v>18940</v>
      </c>
      <c r="E14" s="125">
        <v>155795.35999999999</v>
      </c>
      <c r="F14" s="125">
        <v>7576</v>
      </c>
      <c r="G14" s="125">
        <v>27959</v>
      </c>
      <c r="H14" s="125">
        <v>130382</v>
      </c>
      <c r="I14" s="126">
        <f t="shared" si="1"/>
        <v>77.750410509031198</v>
      </c>
      <c r="J14" s="126">
        <f t="shared" si="0"/>
        <v>147.61879619852164</v>
      </c>
      <c r="K14" s="126">
        <f t="shared" si="0"/>
        <v>83.687986599857666</v>
      </c>
      <c r="L14" s="26"/>
      <c r="M14" s="26"/>
    </row>
    <row r="15" spans="1:13" ht="13.5" x14ac:dyDescent="0.2">
      <c r="A15" s="63">
        <v>10</v>
      </c>
      <c r="B15" s="64" t="s">
        <v>49</v>
      </c>
      <c r="C15" s="125">
        <v>11941</v>
      </c>
      <c r="D15" s="125">
        <v>28432</v>
      </c>
      <c r="E15" s="125">
        <v>241185</v>
      </c>
      <c r="F15" s="125">
        <v>6035</v>
      </c>
      <c r="G15" s="125">
        <v>17174</v>
      </c>
      <c r="H15" s="125">
        <v>128588</v>
      </c>
      <c r="I15" s="126">
        <f t="shared" si="1"/>
        <v>50.540155765848759</v>
      </c>
      <c r="J15" s="126">
        <f t="shared" si="0"/>
        <v>60.403770399549806</v>
      </c>
      <c r="K15" s="126">
        <f t="shared" si="0"/>
        <v>53.315090076082676</v>
      </c>
      <c r="L15" s="26"/>
      <c r="M15" s="26"/>
    </row>
    <row r="16" spans="1:13" ht="13.5" x14ac:dyDescent="0.2">
      <c r="A16" s="63">
        <v>11</v>
      </c>
      <c r="B16" s="64" t="s">
        <v>81</v>
      </c>
      <c r="C16" s="129">
        <v>8703</v>
      </c>
      <c r="D16" s="129">
        <v>90709</v>
      </c>
      <c r="E16" s="129">
        <v>665279</v>
      </c>
      <c r="F16" s="129">
        <v>9586</v>
      </c>
      <c r="G16" s="129">
        <v>32676</v>
      </c>
      <c r="H16" s="136">
        <v>320100</v>
      </c>
      <c r="I16" s="126">
        <f t="shared" si="1"/>
        <v>110.14592669194531</v>
      </c>
      <c r="J16" s="126">
        <f t="shared" si="0"/>
        <v>36.022886372906768</v>
      </c>
      <c r="K16" s="126">
        <f t="shared" si="0"/>
        <v>48.115151688239067</v>
      </c>
      <c r="L16" s="26"/>
      <c r="M16" s="26"/>
    </row>
    <row r="17" spans="1:13" ht="13.5" x14ac:dyDescent="0.2">
      <c r="A17" s="63">
        <v>12</v>
      </c>
      <c r="B17" s="64" t="s">
        <v>62</v>
      </c>
      <c r="C17" s="125">
        <v>0</v>
      </c>
      <c r="D17" s="125">
        <v>8196.43</v>
      </c>
      <c r="E17" s="125">
        <v>84999.26</v>
      </c>
      <c r="F17" s="125">
        <v>0</v>
      </c>
      <c r="G17" s="125">
        <v>3918.73</v>
      </c>
      <c r="H17" s="125">
        <v>31175.68</v>
      </c>
      <c r="I17" s="126">
        <v>0</v>
      </c>
      <c r="J17" s="126">
        <f t="shared" si="0"/>
        <v>47.810205174691909</v>
      </c>
      <c r="K17" s="126">
        <f t="shared" si="0"/>
        <v>36.677589899017946</v>
      </c>
      <c r="L17" s="26"/>
      <c r="M17" s="26"/>
    </row>
    <row r="18" spans="1:13" ht="13.5" x14ac:dyDescent="0.2">
      <c r="A18" s="63">
        <v>13</v>
      </c>
      <c r="B18" s="64" t="s">
        <v>63</v>
      </c>
      <c r="C18" s="129">
        <v>9038</v>
      </c>
      <c r="D18" s="129">
        <v>12441</v>
      </c>
      <c r="E18" s="129">
        <v>143039</v>
      </c>
      <c r="F18" s="129">
        <v>5256</v>
      </c>
      <c r="G18" s="129">
        <v>6678</v>
      </c>
      <c r="H18" s="136">
        <v>84654</v>
      </c>
      <c r="I18" s="126">
        <f t="shared" si="1"/>
        <v>58.154458951095378</v>
      </c>
      <c r="J18" s="126">
        <f t="shared" si="0"/>
        <v>53.677357125632987</v>
      </c>
      <c r="K18" s="126">
        <f t="shared" si="0"/>
        <v>59.182460727493897</v>
      </c>
      <c r="L18" s="26"/>
      <c r="M18" s="26"/>
    </row>
    <row r="19" spans="1:13" ht="13.5" x14ac:dyDescent="0.2">
      <c r="A19" s="63">
        <v>14</v>
      </c>
      <c r="B19" s="64" t="s">
        <v>207</v>
      </c>
      <c r="C19" s="129">
        <v>4908</v>
      </c>
      <c r="D19" s="129">
        <v>34765</v>
      </c>
      <c r="E19" s="129">
        <v>426863</v>
      </c>
      <c r="F19" s="129">
        <v>5882.44</v>
      </c>
      <c r="G19" s="129">
        <v>35698.910000000003</v>
      </c>
      <c r="H19" s="136">
        <v>177417.8</v>
      </c>
      <c r="I19" s="126">
        <f t="shared" si="1"/>
        <v>119.85411572942135</v>
      </c>
      <c r="J19" s="126">
        <f t="shared" si="0"/>
        <v>102.68635121530276</v>
      </c>
      <c r="K19" s="126">
        <f t="shared" si="0"/>
        <v>41.563171321946385</v>
      </c>
      <c r="L19" s="26"/>
      <c r="M19" s="26"/>
    </row>
    <row r="20" spans="1:13" ht="13.5" x14ac:dyDescent="0.2">
      <c r="A20" s="63">
        <v>15</v>
      </c>
      <c r="B20" s="64" t="s">
        <v>208</v>
      </c>
      <c r="C20" s="125">
        <v>10528</v>
      </c>
      <c r="D20" s="125">
        <v>9617</v>
      </c>
      <c r="E20" s="125">
        <v>126202</v>
      </c>
      <c r="F20" s="125">
        <v>5529</v>
      </c>
      <c r="G20" s="125">
        <v>5575</v>
      </c>
      <c r="H20" s="125">
        <v>51271</v>
      </c>
      <c r="I20" s="126">
        <f t="shared" si="1"/>
        <v>52.517097264437687</v>
      </c>
      <c r="J20" s="126">
        <f t="shared" si="0"/>
        <v>57.970260996152646</v>
      </c>
      <c r="K20" s="126">
        <f t="shared" si="0"/>
        <v>40.62613904692477</v>
      </c>
      <c r="L20" s="26"/>
      <c r="M20" s="26"/>
    </row>
    <row r="21" spans="1:13" ht="13.5" x14ac:dyDescent="0.2">
      <c r="A21" s="63">
        <v>16</v>
      </c>
      <c r="B21" s="64" t="s">
        <v>64</v>
      </c>
      <c r="C21" s="125">
        <v>170841</v>
      </c>
      <c r="D21" s="125">
        <v>365252</v>
      </c>
      <c r="E21" s="125">
        <v>1648709</v>
      </c>
      <c r="F21" s="125">
        <v>157992</v>
      </c>
      <c r="G21" s="125">
        <v>181935</v>
      </c>
      <c r="H21" s="125">
        <v>1007911</v>
      </c>
      <c r="I21" s="126">
        <f t="shared" si="1"/>
        <v>92.478971675417498</v>
      </c>
      <c r="J21" s="126">
        <f t="shared" si="0"/>
        <v>49.810815546526783</v>
      </c>
      <c r="K21" s="126">
        <f t="shared" si="0"/>
        <v>61.133347364513689</v>
      </c>
      <c r="L21" s="26"/>
      <c r="M21" s="26"/>
    </row>
    <row r="22" spans="1:13" ht="13.5" x14ac:dyDescent="0.2">
      <c r="A22" s="63">
        <v>17</v>
      </c>
      <c r="B22" s="64" t="s">
        <v>69</v>
      </c>
      <c r="C22" s="125">
        <v>0</v>
      </c>
      <c r="D22" s="125">
        <v>1501.82</v>
      </c>
      <c r="E22" s="125">
        <v>29033.72</v>
      </c>
      <c r="F22" s="125">
        <v>0</v>
      </c>
      <c r="G22" s="125">
        <v>553.77</v>
      </c>
      <c r="H22" s="125">
        <v>34374.03</v>
      </c>
      <c r="I22" s="126">
        <v>0</v>
      </c>
      <c r="J22" s="126">
        <v>0</v>
      </c>
      <c r="K22" s="126">
        <f t="shared" si="1"/>
        <v>118.39347489746405</v>
      </c>
      <c r="L22" s="26"/>
      <c r="M22" s="26"/>
    </row>
    <row r="23" spans="1:13" ht="13.5" x14ac:dyDescent="0.2">
      <c r="A23" s="63">
        <v>18</v>
      </c>
      <c r="B23" s="64" t="s">
        <v>209</v>
      </c>
      <c r="C23" s="125">
        <v>0</v>
      </c>
      <c r="D23" s="125">
        <v>0</v>
      </c>
      <c r="E23" s="125">
        <v>21442.26</v>
      </c>
      <c r="F23" s="125">
        <v>0</v>
      </c>
      <c r="G23" s="125">
        <v>0</v>
      </c>
      <c r="H23" s="125">
        <v>27915.18</v>
      </c>
      <c r="I23" s="126">
        <v>0</v>
      </c>
      <c r="J23" s="126">
        <v>0</v>
      </c>
      <c r="K23" s="126">
        <f t="shared" si="1"/>
        <v>130.18767611249933</v>
      </c>
      <c r="L23" s="26"/>
      <c r="M23" s="26"/>
    </row>
    <row r="24" spans="1:13" ht="13.5" x14ac:dyDescent="0.2">
      <c r="A24" s="63">
        <v>19</v>
      </c>
      <c r="B24" s="64" t="s">
        <v>210</v>
      </c>
      <c r="C24" s="125">
        <v>0</v>
      </c>
      <c r="D24" s="125">
        <v>0</v>
      </c>
      <c r="E24" s="125">
        <v>57096</v>
      </c>
      <c r="F24" s="125">
        <v>0</v>
      </c>
      <c r="G24" s="125">
        <v>0</v>
      </c>
      <c r="H24" s="125">
        <v>70073</v>
      </c>
      <c r="I24" s="126">
        <v>0</v>
      </c>
      <c r="J24" s="126">
        <v>0</v>
      </c>
      <c r="K24" s="126">
        <f t="shared" si="1"/>
        <v>122.72838727756761</v>
      </c>
      <c r="L24" s="26"/>
      <c r="M24" s="26"/>
    </row>
    <row r="25" spans="1:13" ht="13.5" x14ac:dyDescent="0.2">
      <c r="A25" s="63">
        <v>20</v>
      </c>
      <c r="B25" s="64" t="s">
        <v>211</v>
      </c>
      <c r="C25" s="125">
        <v>0</v>
      </c>
      <c r="D25" s="125">
        <v>0</v>
      </c>
      <c r="E25" s="125">
        <v>22763</v>
      </c>
      <c r="F25" s="125">
        <v>0</v>
      </c>
      <c r="G25" s="125">
        <v>0</v>
      </c>
      <c r="H25" s="125">
        <v>52203</v>
      </c>
      <c r="I25" s="126">
        <v>0</v>
      </c>
      <c r="J25" s="126">
        <v>0</v>
      </c>
      <c r="K25" s="126">
        <f t="shared" si="1"/>
        <v>229.33268901287175</v>
      </c>
      <c r="L25" s="26"/>
      <c r="M25" s="26"/>
    </row>
    <row r="26" spans="1:13" ht="13.5" x14ac:dyDescent="0.2">
      <c r="A26" s="63">
        <v>21</v>
      </c>
      <c r="B26" s="64" t="s">
        <v>212</v>
      </c>
      <c r="C26" s="125">
        <v>11605</v>
      </c>
      <c r="D26" s="125">
        <v>0</v>
      </c>
      <c r="E26" s="125">
        <v>50180</v>
      </c>
      <c r="F26" s="125">
        <v>716</v>
      </c>
      <c r="G26" s="125">
        <v>0</v>
      </c>
      <c r="H26" s="125">
        <v>58647</v>
      </c>
      <c r="I26" s="126">
        <v>0</v>
      </c>
      <c r="J26" s="126">
        <v>0</v>
      </c>
      <c r="K26" s="126">
        <f t="shared" si="1"/>
        <v>116.87325627740135</v>
      </c>
      <c r="L26" s="26"/>
      <c r="M26" s="26"/>
    </row>
    <row r="27" spans="1:13" ht="13.5" x14ac:dyDescent="0.2">
      <c r="A27" s="63">
        <v>22</v>
      </c>
      <c r="B27" s="64" t="s">
        <v>70</v>
      </c>
      <c r="C27" s="125">
        <v>891758</v>
      </c>
      <c r="D27" s="125">
        <v>2891282</v>
      </c>
      <c r="E27" s="125">
        <v>6715314</v>
      </c>
      <c r="F27" s="125">
        <v>573417</v>
      </c>
      <c r="G27" s="125">
        <v>1256333</v>
      </c>
      <c r="H27" s="125">
        <v>3807716</v>
      </c>
      <c r="I27" s="126">
        <f t="shared" si="1"/>
        <v>64.301862164398855</v>
      </c>
      <c r="J27" s="126">
        <f t="shared" si="1"/>
        <v>43.45245465506305</v>
      </c>
      <c r="K27" s="126">
        <f t="shared" si="1"/>
        <v>56.701979981874267</v>
      </c>
      <c r="L27" s="26"/>
      <c r="M27" s="26"/>
    </row>
    <row r="28" spans="1:13" ht="13.5" x14ac:dyDescent="0.2">
      <c r="A28" s="63">
        <v>23</v>
      </c>
      <c r="B28" s="64" t="s">
        <v>65</v>
      </c>
      <c r="C28" s="125">
        <v>18275</v>
      </c>
      <c r="D28" s="125">
        <v>234698</v>
      </c>
      <c r="E28" s="125">
        <v>31556</v>
      </c>
      <c r="F28" s="125">
        <v>14099</v>
      </c>
      <c r="G28" s="125">
        <v>112797</v>
      </c>
      <c r="H28" s="125">
        <v>19866</v>
      </c>
      <c r="I28" s="126">
        <f t="shared" si="1"/>
        <v>77.149110807113544</v>
      </c>
      <c r="J28" s="126">
        <f t="shared" si="1"/>
        <v>48.060486241893841</v>
      </c>
      <c r="K28" s="126">
        <f t="shared" si="1"/>
        <v>62.954747116237797</v>
      </c>
      <c r="L28" s="26"/>
      <c r="M28" s="26"/>
    </row>
    <row r="29" spans="1:13" ht="13.5" x14ac:dyDescent="0.2">
      <c r="A29" s="63">
        <v>24</v>
      </c>
      <c r="B29" s="64" t="s">
        <v>213</v>
      </c>
      <c r="C29" s="125">
        <v>114097.8</v>
      </c>
      <c r="D29" s="125">
        <v>106966.69</v>
      </c>
      <c r="E29" s="125">
        <v>492046.76</v>
      </c>
      <c r="F29" s="125">
        <v>71492.600000000006</v>
      </c>
      <c r="G29" s="125">
        <v>60309.89</v>
      </c>
      <c r="H29" s="125">
        <v>295019.03999999998</v>
      </c>
      <c r="I29" s="126">
        <f t="shared" si="1"/>
        <v>62.659052146491874</v>
      </c>
      <c r="J29" s="126">
        <f t="shared" si="1"/>
        <v>56.381935348284593</v>
      </c>
      <c r="K29" s="126">
        <f t="shared" si="1"/>
        <v>59.957521110392022</v>
      </c>
      <c r="L29" s="26"/>
      <c r="M29" s="26"/>
    </row>
    <row r="30" spans="1:13" ht="13.5" x14ac:dyDescent="0.2">
      <c r="A30" s="63">
        <v>25</v>
      </c>
      <c r="B30" s="64" t="s">
        <v>66</v>
      </c>
      <c r="C30" s="125">
        <v>322055</v>
      </c>
      <c r="D30" s="125">
        <v>441134</v>
      </c>
      <c r="E30" s="125">
        <v>1454262</v>
      </c>
      <c r="F30" s="125">
        <v>133148</v>
      </c>
      <c r="G30" s="125">
        <v>161944</v>
      </c>
      <c r="H30" s="125">
        <v>623453</v>
      </c>
      <c r="I30" s="126">
        <f t="shared" si="1"/>
        <v>41.343248823958639</v>
      </c>
      <c r="J30" s="126">
        <f t="shared" si="1"/>
        <v>36.710840696931093</v>
      </c>
      <c r="K30" s="126">
        <f t="shared" si="1"/>
        <v>42.870748187052953</v>
      </c>
      <c r="L30" s="26"/>
      <c r="M30" s="26"/>
    </row>
    <row r="31" spans="1:13" ht="13.5" x14ac:dyDescent="0.2">
      <c r="A31" s="63">
        <v>26</v>
      </c>
      <c r="B31" s="64" t="s">
        <v>67</v>
      </c>
      <c r="C31" s="125">
        <v>0</v>
      </c>
      <c r="D31" s="125">
        <v>0</v>
      </c>
      <c r="E31" s="125">
        <v>31759</v>
      </c>
      <c r="F31" s="125">
        <v>0</v>
      </c>
      <c r="G31" s="125">
        <v>0</v>
      </c>
      <c r="H31" s="125">
        <v>26456</v>
      </c>
      <c r="I31" s="126">
        <v>0</v>
      </c>
      <c r="J31" s="126">
        <v>0</v>
      </c>
      <c r="K31" s="126">
        <f t="shared" si="1"/>
        <v>83.302370981454075</v>
      </c>
      <c r="L31" s="26"/>
      <c r="M31" s="26"/>
    </row>
    <row r="32" spans="1:13" ht="13.5" x14ac:dyDescent="0.2">
      <c r="A32" s="63">
        <v>27</v>
      </c>
      <c r="B32" s="64" t="s">
        <v>50</v>
      </c>
      <c r="C32" s="125">
        <v>2193</v>
      </c>
      <c r="D32" s="125">
        <v>126480</v>
      </c>
      <c r="E32" s="125">
        <v>17166</v>
      </c>
      <c r="F32" s="125">
        <v>2825</v>
      </c>
      <c r="G32" s="125">
        <v>61312</v>
      </c>
      <c r="H32" s="125">
        <v>14686</v>
      </c>
      <c r="I32" s="126">
        <f t="shared" si="1"/>
        <v>128.81896944824442</v>
      </c>
      <c r="J32" s="126">
        <f t="shared" si="1"/>
        <v>48.475648323845668</v>
      </c>
      <c r="K32" s="126">
        <f t="shared" si="1"/>
        <v>85.55283700337877</v>
      </c>
      <c r="L32" s="26"/>
      <c r="M32" s="26"/>
    </row>
    <row r="33" spans="1:13" ht="13.5" x14ac:dyDescent="0.2">
      <c r="A33" s="63"/>
      <c r="B33" s="75" t="s">
        <v>294</v>
      </c>
      <c r="C33" s="127">
        <f>SUM(C6:C32)</f>
        <v>3138920.7399999998</v>
      </c>
      <c r="D33" s="127">
        <f t="shared" ref="D33:H33" si="2">SUM(D6:D32)</f>
        <v>6877624.5000000009</v>
      </c>
      <c r="E33" s="127">
        <f t="shared" si="2"/>
        <v>16805345.59</v>
      </c>
      <c r="F33" s="127">
        <f t="shared" si="2"/>
        <v>2227017.4900000002</v>
      </c>
      <c r="G33" s="127">
        <f t="shared" si="2"/>
        <v>3251731.2600000002</v>
      </c>
      <c r="H33" s="127">
        <f t="shared" si="2"/>
        <v>9565428.5</v>
      </c>
      <c r="I33" s="128">
        <f t="shared" si="1"/>
        <v>70.948509837174171</v>
      </c>
      <c r="J33" s="128">
        <f t="shared" si="1"/>
        <v>47.279860364577907</v>
      </c>
      <c r="K33" s="128">
        <f t="shared" si="1"/>
        <v>56.918963366584357</v>
      </c>
      <c r="L33" s="26"/>
      <c r="M33" s="26"/>
    </row>
    <row r="34" spans="1:13" ht="13.5" x14ac:dyDescent="0.2">
      <c r="A34" s="63">
        <v>28</v>
      </c>
      <c r="B34" s="64" t="s">
        <v>47</v>
      </c>
      <c r="C34" s="125">
        <v>35843.74</v>
      </c>
      <c r="D34" s="125">
        <v>95830.47</v>
      </c>
      <c r="E34" s="125">
        <v>577309.09</v>
      </c>
      <c r="F34" s="125">
        <v>7030.55</v>
      </c>
      <c r="G34" s="125">
        <v>32384</v>
      </c>
      <c r="H34" s="125">
        <v>549688.24</v>
      </c>
      <c r="I34" s="126">
        <f t="shared" si="1"/>
        <v>19.614443135677249</v>
      </c>
      <c r="J34" s="126">
        <f t="shared" si="1"/>
        <v>33.793009676358679</v>
      </c>
      <c r="K34" s="126">
        <f t="shared" si="1"/>
        <v>95.215587199571033</v>
      </c>
      <c r="L34" s="26"/>
      <c r="M34" s="26"/>
    </row>
    <row r="35" spans="1:13" ht="15" customHeight="1" x14ac:dyDescent="0.2">
      <c r="A35" s="63">
        <v>29</v>
      </c>
      <c r="B35" s="79" t="s">
        <v>215</v>
      </c>
      <c r="C35" s="125">
        <v>2510</v>
      </c>
      <c r="D35" s="125">
        <v>2520</v>
      </c>
      <c r="E35" s="125">
        <v>29364</v>
      </c>
      <c r="F35" s="125">
        <v>9446</v>
      </c>
      <c r="G35" s="125">
        <v>9167</v>
      </c>
      <c r="H35" s="125">
        <v>34025</v>
      </c>
      <c r="I35" s="126">
        <f t="shared" si="1"/>
        <v>376.33466135458167</v>
      </c>
      <c r="J35" s="126">
        <f t="shared" si="1"/>
        <v>363.76984126984127</v>
      </c>
      <c r="K35" s="126">
        <f t="shared" si="1"/>
        <v>115.87317804113881</v>
      </c>
      <c r="L35" s="26"/>
      <c r="M35" s="26"/>
    </row>
    <row r="36" spans="1:13" ht="13.5" x14ac:dyDescent="0.2">
      <c r="A36" s="63">
        <v>30</v>
      </c>
      <c r="B36" s="64" t="s">
        <v>216</v>
      </c>
      <c r="C36" s="125">
        <v>0</v>
      </c>
      <c r="D36" s="125">
        <v>0</v>
      </c>
      <c r="E36" s="125">
        <v>3601</v>
      </c>
      <c r="F36" s="125">
        <v>0</v>
      </c>
      <c r="G36" s="125">
        <v>0</v>
      </c>
      <c r="H36" s="125">
        <v>704</v>
      </c>
      <c r="I36" s="126">
        <v>0</v>
      </c>
      <c r="J36" s="126">
        <v>0</v>
      </c>
      <c r="K36" s="126">
        <f t="shared" si="1"/>
        <v>19.55012496528742</v>
      </c>
      <c r="L36" s="26"/>
      <c r="M36" s="26"/>
    </row>
    <row r="37" spans="1:13" ht="13.5" x14ac:dyDescent="0.2">
      <c r="A37" s="63">
        <v>31</v>
      </c>
      <c r="B37" s="64" t="s">
        <v>78</v>
      </c>
      <c r="C37" s="125">
        <v>0</v>
      </c>
      <c r="D37" s="125">
        <v>0</v>
      </c>
      <c r="E37" s="125">
        <v>3984</v>
      </c>
      <c r="F37" s="125">
        <v>0</v>
      </c>
      <c r="G37" s="125">
        <v>0</v>
      </c>
      <c r="H37" s="125">
        <v>2</v>
      </c>
      <c r="I37" s="126">
        <v>0</v>
      </c>
      <c r="J37" s="126">
        <v>0</v>
      </c>
      <c r="K37" s="126">
        <f t="shared" si="1"/>
        <v>5.0200803212851405E-2</v>
      </c>
      <c r="L37" s="26"/>
      <c r="M37" s="26"/>
    </row>
    <row r="38" spans="1:13" ht="13.5" x14ac:dyDescent="0.2">
      <c r="A38" s="63">
        <v>32</v>
      </c>
      <c r="B38" s="64" t="s">
        <v>51</v>
      </c>
      <c r="C38" s="125">
        <v>0</v>
      </c>
      <c r="D38" s="125">
        <v>0</v>
      </c>
      <c r="E38" s="125">
        <v>6470</v>
      </c>
      <c r="F38" s="125">
        <v>0</v>
      </c>
      <c r="G38" s="125">
        <v>0</v>
      </c>
      <c r="H38" s="125">
        <v>8522</v>
      </c>
      <c r="I38" s="126">
        <v>0</v>
      </c>
      <c r="J38" s="126">
        <v>0</v>
      </c>
      <c r="K38" s="126">
        <f t="shared" si="1"/>
        <v>131.71561051004636</v>
      </c>
      <c r="L38" s="26"/>
      <c r="M38" s="26"/>
    </row>
    <row r="39" spans="1:13" ht="13.5" x14ac:dyDescent="0.2">
      <c r="A39" s="63">
        <v>33</v>
      </c>
      <c r="B39" s="64" t="s">
        <v>217</v>
      </c>
      <c r="C39" s="125">
        <v>0</v>
      </c>
      <c r="D39" s="125">
        <v>0</v>
      </c>
      <c r="E39" s="125">
        <v>16402</v>
      </c>
      <c r="F39" s="125">
        <v>0</v>
      </c>
      <c r="G39" s="125">
        <v>0</v>
      </c>
      <c r="H39" s="125">
        <v>48279</v>
      </c>
      <c r="I39" s="126">
        <v>0</v>
      </c>
      <c r="J39" s="126">
        <v>0</v>
      </c>
      <c r="K39" s="126">
        <f t="shared" si="1"/>
        <v>294.34825021338861</v>
      </c>
      <c r="L39" s="26"/>
      <c r="M39" s="26"/>
    </row>
    <row r="40" spans="1:13" ht="13.5" x14ac:dyDescent="0.2">
      <c r="A40" s="63">
        <v>34</v>
      </c>
      <c r="B40" s="64" t="s">
        <v>218</v>
      </c>
      <c r="C40" s="125">
        <v>0</v>
      </c>
      <c r="D40" s="125">
        <v>0</v>
      </c>
      <c r="E40" s="125">
        <v>803</v>
      </c>
      <c r="F40" s="125">
        <v>0</v>
      </c>
      <c r="G40" s="125">
        <v>0</v>
      </c>
      <c r="H40" s="125">
        <v>35</v>
      </c>
      <c r="I40" s="126">
        <v>0</v>
      </c>
      <c r="J40" s="126">
        <v>0</v>
      </c>
      <c r="K40" s="126">
        <f t="shared" si="1"/>
        <v>4.3586550435865501</v>
      </c>
      <c r="L40" s="26"/>
      <c r="M40" s="26"/>
    </row>
    <row r="41" spans="1:13" ht="13.5" x14ac:dyDescent="0.2">
      <c r="A41" s="63">
        <v>35</v>
      </c>
      <c r="B41" s="64" t="s">
        <v>219</v>
      </c>
      <c r="C41" s="125">
        <v>573.57000000000005</v>
      </c>
      <c r="D41" s="125">
        <v>675.3</v>
      </c>
      <c r="E41" s="125">
        <v>46006.15</v>
      </c>
      <c r="F41" s="125">
        <v>1296.49</v>
      </c>
      <c r="G41" s="125">
        <v>1101.5999999999999</v>
      </c>
      <c r="H41" s="125">
        <v>13086.03</v>
      </c>
      <c r="I41" s="126">
        <v>0</v>
      </c>
      <c r="J41" s="126">
        <v>0</v>
      </c>
      <c r="K41" s="126">
        <f t="shared" si="1"/>
        <v>28.444088453391558</v>
      </c>
      <c r="L41" s="26"/>
      <c r="M41" s="26"/>
    </row>
    <row r="42" spans="1:13" ht="13.5" x14ac:dyDescent="0.2">
      <c r="A42" s="63">
        <v>36</v>
      </c>
      <c r="B42" s="64" t="s">
        <v>71</v>
      </c>
      <c r="C42" s="125">
        <v>5129</v>
      </c>
      <c r="D42" s="125">
        <v>111440</v>
      </c>
      <c r="E42" s="125">
        <v>696920</v>
      </c>
      <c r="F42" s="125">
        <v>4138</v>
      </c>
      <c r="G42" s="125">
        <v>197340</v>
      </c>
      <c r="H42" s="125">
        <v>976186</v>
      </c>
      <c r="I42" s="126">
        <f t="shared" si="1"/>
        <v>80.678494833300832</v>
      </c>
      <c r="J42" s="126">
        <f t="shared" si="1"/>
        <v>177.08183776022972</v>
      </c>
      <c r="K42" s="126">
        <f t="shared" si="1"/>
        <v>140.07145726912702</v>
      </c>
      <c r="L42" s="26"/>
      <c r="M42" s="26"/>
    </row>
    <row r="43" spans="1:13" ht="15" customHeight="1" x14ac:dyDescent="0.2">
      <c r="A43" s="63">
        <v>37</v>
      </c>
      <c r="B43" s="64" t="s">
        <v>72</v>
      </c>
      <c r="C43" s="125">
        <v>788</v>
      </c>
      <c r="D43" s="125">
        <v>271883</v>
      </c>
      <c r="E43" s="125">
        <v>443188</v>
      </c>
      <c r="F43" s="125">
        <v>3673</v>
      </c>
      <c r="G43" s="125">
        <v>581847</v>
      </c>
      <c r="H43" s="125">
        <v>463799</v>
      </c>
      <c r="I43" s="126">
        <f t="shared" si="1"/>
        <v>466.11675126903555</v>
      </c>
      <c r="J43" s="126">
        <f t="shared" si="1"/>
        <v>214.00639245557832</v>
      </c>
      <c r="K43" s="126">
        <f t="shared" si="1"/>
        <v>104.6506223092683</v>
      </c>
      <c r="L43" s="26"/>
      <c r="M43" s="26"/>
    </row>
    <row r="44" spans="1:13" ht="13.5" x14ac:dyDescent="0.2">
      <c r="A44" s="63">
        <v>38</v>
      </c>
      <c r="B44" s="64" t="s">
        <v>220</v>
      </c>
      <c r="C44" s="125">
        <v>853</v>
      </c>
      <c r="D44" s="125">
        <v>1724</v>
      </c>
      <c r="E44" s="125">
        <v>2584</v>
      </c>
      <c r="F44" s="125">
        <v>4597</v>
      </c>
      <c r="G44" s="125">
        <v>6465</v>
      </c>
      <c r="H44" s="125">
        <v>4330</v>
      </c>
      <c r="I44" s="126">
        <f t="shared" ref="I44" si="3">F44*100/C44</f>
        <v>538.92145369284879</v>
      </c>
      <c r="J44" s="126">
        <f t="shared" ref="J44" si="4">G44*100/D44</f>
        <v>375</v>
      </c>
      <c r="K44" s="126">
        <f>H44*100/E44</f>
        <v>167.56965944272446</v>
      </c>
      <c r="L44" s="26"/>
      <c r="M44" s="26"/>
    </row>
    <row r="45" spans="1:13" ht="13.5" x14ac:dyDescent="0.2">
      <c r="A45" s="63">
        <v>39</v>
      </c>
      <c r="B45" s="64" t="s">
        <v>221</v>
      </c>
      <c r="C45" s="125">
        <v>3355</v>
      </c>
      <c r="D45" s="125">
        <v>7452</v>
      </c>
      <c r="E45" s="125">
        <v>95918</v>
      </c>
      <c r="F45" s="125">
        <v>12595</v>
      </c>
      <c r="G45" s="125">
        <v>25542</v>
      </c>
      <c r="H45" s="125">
        <v>229709</v>
      </c>
      <c r="I45" s="126">
        <f>F45*100/C45</f>
        <v>375.40983606557376</v>
      </c>
      <c r="J45" s="126">
        <f>G45*100/D45</f>
        <v>342.75362318840581</v>
      </c>
      <c r="K45" s="126">
        <f>H45*100/E45</f>
        <v>239.48476823953794</v>
      </c>
      <c r="L45" s="26"/>
      <c r="M45" s="26"/>
    </row>
    <row r="46" spans="1:13" ht="13.5" x14ac:dyDescent="0.2">
      <c r="A46" s="63">
        <v>40</v>
      </c>
      <c r="B46" s="64" t="s">
        <v>222</v>
      </c>
      <c r="C46" s="125">
        <v>0</v>
      </c>
      <c r="D46" s="125">
        <v>0</v>
      </c>
      <c r="E46" s="125">
        <v>15169</v>
      </c>
      <c r="F46" s="125">
        <v>0</v>
      </c>
      <c r="G46" s="125">
        <v>0</v>
      </c>
      <c r="H46" s="125">
        <v>3241</v>
      </c>
      <c r="I46" s="126">
        <v>0</v>
      </c>
      <c r="J46" s="126">
        <v>0</v>
      </c>
      <c r="K46" s="126">
        <f t="shared" si="1"/>
        <v>21.365943700969083</v>
      </c>
      <c r="L46" s="26"/>
      <c r="M46" s="26"/>
    </row>
    <row r="47" spans="1:13" ht="13.5" x14ac:dyDescent="0.2">
      <c r="A47" s="63">
        <v>41</v>
      </c>
      <c r="B47" s="64" t="s">
        <v>223</v>
      </c>
      <c r="C47" s="125">
        <v>0</v>
      </c>
      <c r="D47" s="125">
        <v>0</v>
      </c>
      <c r="E47" s="125">
        <v>21230</v>
      </c>
      <c r="F47" s="125">
        <v>0</v>
      </c>
      <c r="G47" s="125">
        <v>0</v>
      </c>
      <c r="H47" s="125">
        <v>31778</v>
      </c>
      <c r="I47" s="126">
        <v>0</v>
      </c>
      <c r="J47" s="126">
        <v>0</v>
      </c>
      <c r="K47" s="126">
        <f t="shared" si="1"/>
        <v>149.68440885539331</v>
      </c>
      <c r="L47" s="26"/>
      <c r="M47" s="26"/>
    </row>
    <row r="48" spans="1:13" ht="13.5" x14ac:dyDescent="0.2">
      <c r="A48" s="63">
        <v>42</v>
      </c>
      <c r="B48" s="64" t="s">
        <v>224</v>
      </c>
      <c r="C48" s="125">
        <v>0</v>
      </c>
      <c r="D48" s="125">
        <v>0</v>
      </c>
      <c r="E48" s="125">
        <v>22501</v>
      </c>
      <c r="F48" s="125">
        <v>0</v>
      </c>
      <c r="G48" s="125">
        <v>0</v>
      </c>
      <c r="H48" s="125">
        <v>13802</v>
      </c>
      <c r="I48" s="126">
        <v>0</v>
      </c>
      <c r="J48" s="126">
        <v>0</v>
      </c>
      <c r="K48" s="126">
        <f t="shared" si="1"/>
        <v>61.339496022399004</v>
      </c>
      <c r="L48" s="26"/>
      <c r="M48" s="26"/>
    </row>
    <row r="49" spans="1:13" s="29" customFormat="1" ht="13.5" x14ac:dyDescent="0.2">
      <c r="A49" s="291">
        <v>43</v>
      </c>
      <c r="B49" s="75" t="s">
        <v>73</v>
      </c>
      <c r="C49" s="127">
        <v>0</v>
      </c>
      <c r="D49" s="127">
        <v>0</v>
      </c>
      <c r="E49" s="127">
        <v>120978</v>
      </c>
      <c r="F49" s="127">
        <v>0</v>
      </c>
      <c r="G49" s="127">
        <v>0</v>
      </c>
      <c r="H49" s="127">
        <v>223050</v>
      </c>
      <c r="I49" s="128">
        <v>0</v>
      </c>
      <c r="J49" s="128">
        <v>0</v>
      </c>
      <c r="K49" s="128">
        <f t="shared" si="1"/>
        <v>184.37236522342906</v>
      </c>
      <c r="L49" s="27"/>
      <c r="M49" s="27"/>
    </row>
    <row r="50" spans="1:13" ht="13.5" x14ac:dyDescent="0.2">
      <c r="A50" s="63">
        <v>44</v>
      </c>
      <c r="B50" s="64" t="s">
        <v>225</v>
      </c>
      <c r="C50" s="125">
        <v>0</v>
      </c>
      <c r="D50" s="125">
        <v>0</v>
      </c>
      <c r="E50" s="125">
        <v>12314</v>
      </c>
      <c r="F50" s="125">
        <v>0</v>
      </c>
      <c r="G50" s="125">
        <v>0</v>
      </c>
      <c r="H50" s="125">
        <v>4538</v>
      </c>
      <c r="I50" s="126">
        <v>0</v>
      </c>
      <c r="J50" s="126">
        <v>0</v>
      </c>
      <c r="K50" s="126">
        <f t="shared" si="1"/>
        <v>36.852363163878515</v>
      </c>
      <c r="L50" s="26"/>
      <c r="M50" s="26"/>
    </row>
    <row r="51" spans="1:13" ht="13.5" x14ac:dyDescent="0.2">
      <c r="A51" s="63">
        <v>45</v>
      </c>
      <c r="B51" s="64" t="s">
        <v>226</v>
      </c>
      <c r="C51" s="125">
        <v>0</v>
      </c>
      <c r="D51" s="125">
        <v>0</v>
      </c>
      <c r="E51" s="125">
        <v>45829</v>
      </c>
      <c r="F51" s="125">
        <v>0</v>
      </c>
      <c r="G51" s="125">
        <v>0</v>
      </c>
      <c r="H51" s="125">
        <v>82932</v>
      </c>
      <c r="I51" s="126">
        <v>0</v>
      </c>
      <c r="J51" s="126">
        <v>0</v>
      </c>
      <c r="K51" s="126">
        <f t="shared" si="1"/>
        <v>180.959654367322</v>
      </c>
      <c r="L51" s="26"/>
      <c r="M51" s="26"/>
    </row>
    <row r="52" spans="1:13" ht="13.5" x14ac:dyDescent="0.2">
      <c r="A52" s="63">
        <v>46</v>
      </c>
      <c r="B52" s="64" t="s">
        <v>227</v>
      </c>
      <c r="C52" s="125">
        <v>0</v>
      </c>
      <c r="D52" s="125">
        <v>0</v>
      </c>
      <c r="E52" s="125">
        <v>14014.89</v>
      </c>
      <c r="F52" s="125">
        <v>0</v>
      </c>
      <c r="G52" s="125">
        <v>0</v>
      </c>
      <c r="H52" s="125">
        <v>5218.17</v>
      </c>
      <c r="I52" s="126">
        <v>0</v>
      </c>
      <c r="J52" s="126">
        <v>0</v>
      </c>
      <c r="K52" s="126">
        <f t="shared" si="1"/>
        <v>37.233042856561845</v>
      </c>
      <c r="L52" s="26"/>
      <c r="M52" s="26"/>
    </row>
    <row r="53" spans="1:13" ht="13.5" x14ac:dyDescent="0.2">
      <c r="A53" s="63">
        <v>47</v>
      </c>
      <c r="B53" s="64" t="s">
        <v>77</v>
      </c>
      <c r="C53" s="125">
        <v>0</v>
      </c>
      <c r="D53" s="125">
        <v>0</v>
      </c>
      <c r="E53" s="125">
        <v>19677</v>
      </c>
      <c r="F53" s="125">
        <v>0</v>
      </c>
      <c r="G53" s="125">
        <v>0</v>
      </c>
      <c r="H53" s="125">
        <v>6120</v>
      </c>
      <c r="I53" s="126">
        <v>0</v>
      </c>
      <c r="J53" s="126">
        <v>0</v>
      </c>
      <c r="K53" s="126">
        <f t="shared" si="1"/>
        <v>31.102302180210398</v>
      </c>
      <c r="L53" s="26"/>
      <c r="M53" s="26"/>
    </row>
    <row r="54" spans="1:13" ht="13.5" x14ac:dyDescent="0.2">
      <c r="A54" s="63">
        <v>48</v>
      </c>
      <c r="B54" s="64" t="s">
        <v>228</v>
      </c>
      <c r="C54" s="125">
        <v>0</v>
      </c>
      <c r="D54" s="125">
        <v>0</v>
      </c>
      <c r="E54" s="125">
        <v>1624</v>
      </c>
      <c r="F54" s="125">
        <v>0</v>
      </c>
      <c r="G54" s="125">
        <v>0</v>
      </c>
      <c r="H54" s="125">
        <v>5163</v>
      </c>
      <c r="I54" s="126">
        <v>0</v>
      </c>
      <c r="J54" s="126">
        <v>0</v>
      </c>
      <c r="K54" s="126">
        <f t="shared" si="1"/>
        <v>317.91871921182263</v>
      </c>
      <c r="L54" s="26"/>
      <c r="M54" s="26"/>
    </row>
    <row r="55" spans="1:13" ht="13.5" x14ac:dyDescent="0.2">
      <c r="A55" s="63">
        <v>49</v>
      </c>
      <c r="B55" s="64" t="s">
        <v>76</v>
      </c>
      <c r="C55" s="125">
        <v>0</v>
      </c>
      <c r="D55" s="125">
        <v>0</v>
      </c>
      <c r="E55" s="125">
        <v>124354</v>
      </c>
      <c r="F55" s="125">
        <v>0</v>
      </c>
      <c r="G55" s="125">
        <v>0</v>
      </c>
      <c r="H55" s="125">
        <v>73566</v>
      </c>
      <c r="I55" s="126">
        <v>0</v>
      </c>
      <c r="J55" s="126">
        <v>0</v>
      </c>
      <c r="K55" s="126">
        <f t="shared" si="1"/>
        <v>59.158531289705195</v>
      </c>
      <c r="L55" s="26"/>
      <c r="M55" s="26"/>
    </row>
    <row r="56" spans="1:13" ht="13.5" x14ac:dyDescent="0.2">
      <c r="A56" s="63"/>
      <c r="B56" s="75" t="s">
        <v>289</v>
      </c>
      <c r="C56" s="127">
        <f>SUM(C34:C55)</f>
        <v>49052.31</v>
      </c>
      <c r="D56" s="127">
        <f t="shared" ref="D56:H56" si="5">SUM(D34:D55)</f>
        <v>491524.77</v>
      </c>
      <c r="E56" s="127">
        <f t="shared" si="5"/>
        <v>2320240.1300000004</v>
      </c>
      <c r="F56" s="127">
        <f t="shared" si="5"/>
        <v>42776.04</v>
      </c>
      <c r="G56" s="127">
        <f t="shared" si="5"/>
        <v>853846.6</v>
      </c>
      <c r="H56" s="127">
        <f t="shared" si="5"/>
        <v>2777773.44</v>
      </c>
      <c r="I56" s="128">
        <f t="shared" si="1"/>
        <v>87.20494508821298</v>
      </c>
      <c r="J56" s="128">
        <f t="shared" si="1"/>
        <v>173.7138496601097</v>
      </c>
      <c r="K56" s="128">
        <f t="shared" si="1"/>
        <v>119.71922233756037</v>
      </c>
      <c r="L56" s="26"/>
      <c r="M56" s="26"/>
    </row>
    <row r="57" spans="1:13" ht="13.5" x14ac:dyDescent="0.2">
      <c r="A57" s="63">
        <v>51</v>
      </c>
      <c r="B57" s="64" t="s">
        <v>46</v>
      </c>
      <c r="C57" s="125">
        <v>270844.44</v>
      </c>
      <c r="D57" s="125">
        <v>291391.34000000003</v>
      </c>
      <c r="E57" s="125">
        <v>157612.84</v>
      </c>
      <c r="F57" s="125">
        <v>201078.33</v>
      </c>
      <c r="G57" s="125">
        <v>141633.12</v>
      </c>
      <c r="H57" s="125">
        <v>43094.03</v>
      </c>
      <c r="I57" s="126">
        <f t="shared" si="1"/>
        <v>74.241261884497234</v>
      </c>
      <c r="J57" s="126">
        <f t="shared" si="1"/>
        <v>48.605809630444057</v>
      </c>
      <c r="K57" s="126">
        <f t="shared" si="1"/>
        <v>27.341700079765076</v>
      </c>
      <c r="L57" s="26"/>
      <c r="M57" s="26"/>
    </row>
    <row r="58" spans="1:13" ht="13.5" x14ac:dyDescent="0.2">
      <c r="A58" s="63">
        <v>52</v>
      </c>
      <c r="B58" s="64" t="s">
        <v>229</v>
      </c>
      <c r="C58" s="125">
        <v>369773</v>
      </c>
      <c r="D58" s="125">
        <v>146799</v>
      </c>
      <c r="E58" s="125">
        <v>172549</v>
      </c>
      <c r="F58" s="125">
        <v>171752</v>
      </c>
      <c r="G58" s="125">
        <v>21354</v>
      </c>
      <c r="H58" s="125">
        <v>57307</v>
      </c>
      <c r="I58" s="126">
        <f t="shared" si="1"/>
        <v>46.447955908084147</v>
      </c>
      <c r="J58" s="126">
        <f t="shared" si="1"/>
        <v>14.54642061594425</v>
      </c>
      <c r="K58" s="126">
        <f t="shared" si="1"/>
        <v>33.21201513772899</v>
      </c>
      <c r="L58" s="26"/>
      <c r="M58" s="26"/>
    </row>
    <row r="59" spans="1:13" ht="13.5" x14ac:dyDescent="0.2">
      <c r="A59" s="63">
        <v>53</v>
      </c>
      <c r="B59" s="64" t="s">
        <v>52</v>
      </c>
      <c r="C59" s="125">
        <v>234438.11</v>
      </c>
      <c r="D59" s="125">
        <v>235152.16</v>
      </c>
      <c r="E59" s="125">
        <v>147012.06</v>
      </c>
      <c r="F59" s="125">
        <v>234818.92</v>
      </c>
      <c r="G59" s="125">
        <v>137701.81</v>
      </c>
      <c r="H59" s="125">
        <v>50687.39</v>
      </c>
      <c r="I59" s="126">
        <f t="shared" si="1"/>
        <v>100.1624351945168</v>
      </c>
      <c r="J59" s="126">
        <f t="shared" si="1"/>
        <v>58.558598823842402</v>
      </c>
      <c r="K59" s="126">
        <f t="shared" si="1"/>
        <v>34.478389051891391</v>
      </c>
      <c r="L59" s="26"/>
      <c r="M59" s="26"/>
    </row>
    <row r="60" spans="1:13" ht="13.5" x14ac:dyDescent="0.2">
      <c r="A60" s="63"/>
      <c r="B60" s="75" t="s">
        <v>295</v>
      </c>
      <c r="C60" s="127">
        <f>SUM(C57:C59)</f>
        <v>875055.54999999993</v>
      </c>
      <c r="D60" s="127">
        <f t="shared" ref="D60:H60" si="6">SUM(D57:D59)</f>
        <v>673342.5</v>
      </c>
      <c r="E60" s="127">
        <f t="shared" si="6"/>
        <v>477173.89999999997</v>
      </c>
      <c r="F60" s="127">
        <f t="shared" si="6"/>
        <v>607649.25</v>
      </c>
      <c r="G60" s="127">
        <f t="shared" si="6"/>
        <v>300688.93</v>
      </c>
      <c r="H60" s="127">
        <f t="shared" si="6"/>
        <v>151088.41999999998</v>
      </c>
      <c r="I60" s="128">
        <f t="shared" si="1"/>
        <v>69.441220045973083</v>
      </c>
      <c r="J60" s="128">
        <f t="shared" si="1"/>
        <v>44.656163839353674</v>
      </c>
      <c r="K60" s="128">
        <f t="shared" si="1"/>
        <v>31.663177722000302</v>
      </c>
      <c r="L60" s="26"/>
      <c r="M60" s="26"/>
    </row>
    <row r="61" spans="1:13" ht="13.5" x14ac:dyDescent="0.2">
      <c r="A61" s="63">
        <v>53</v>
      </c>
      <c r="B61" s="64" t="s">
        <v>290</v>
      </c>
      <c r="C61" s="125">
        <v>728114</v>
      </c>
      <c r="D61" s="125">
        <v>1152232</v>
      </c>
      <c r="E61" s="125">
        <v>210834</v>
      </c>
      <c r="F61" s="125">
        <v>1522350</v>
      </c>
      <c r="G61" s="125">
        <v>753871</v>
      </c>
      <c r="H61" s="125">
        <v>137943</v>
      </c>
      <c r="I61" s="126">
        <f t="shared" si="1"/>
        <v>209.08127024064913</v>
      </c>
      <c r="J61" s="126">
        <f t="shared" si="1"/>
        <v>65.427014698428792</v>
      </c>
      <c r="K61" s="126">
        <f t="shared" si="1"/>
        <v>65.427302996670363</v>
      </c>
      <c r="L61" s="26"/>
      <c r="M61" s="26"/>
    </row>
    <row r="62" spans="1:13" ht="13.5" x14ac:dyDescent="0.2">
      <c r="A62" s="63"/>
      <c r="B62" s="75" t="s">
        <v>291</v>
      </c>
      <c r="C62" s="127">
        <f>C61</f>
        <v>728114</v>
      </c>
      <c r="D62" s="127">
        <f t="shared" ref="D62:H62" si="7">D61</f>
        <v>1152232</v>
      </c>
      <c r="E62" s="127">
        <f t="shared" si="7"/>
        <v>210834</v>
      </c>
      <c r="F62" s="127">
        <f t="shared" si="7"/>
        <v>1522350</v>
      </c>
      <c r="G62" s="127">
        <f t="shared" si="7"/>
        <v>753871</v>
      </c>
      <c r="H62" s="127">
        <f t="shared" si="7"/>
        <v>137943</v>
      </c>
      <c r="I62" s="128">
        <f t="shared" si="1"/>
        <v>209.08127024064913</v>
      </c>
      <c r="J62" s="128">
        <f t="shared" si="1"/>
        <v>65.427014698428792</v>
      </c>
      <c r="K62" s="128">
        <f t="shared" si="1"/>
        <v>65.427302996670363</v>
      </c>
      <c r="L62" s="26"/>
      <c r="M62" s="26"/>
    </row>
    <row r="63" spans="1:13" ht="13.5" x14ac:dyDescent="0.2">
      <c r="A63" s="63"/>
      <c r="B63" s="75" t="s">
        <v>0</v>
      </c>
      <c r="C63" s="127">
        <f>C62+C60+C56+C33</f>
        <v>4791142.5999999996</v>
      </c>
      <c r="D63" s="127">
        <f t="shared" ref="D63:H63" si="8">D62+D60+D56+D33</f>
        <v>9194723.7700000014</v>
      </c>
      <c r="E63" s="127">
        <f t="shared" si="8"/>
        <v>19813593.620000001</v>
      </c>
      <c r="F63" s="127">
        <f t="shared" si="8"/>
        <v>4399792.78</v>
      </c>
      <c r="G63" s="127">
        <f t="shared" si="8"/>
        <v>5160137.79</v>
      </c>
      <c r="H63" s="127">
        <f t="shared" si="8"/>
        <v>12632233.359999999</v>
      </c>
      <c r="I63" s="128">
        <f t="shared" si="1"/>
        <v>91.831806049771927</v>
      </c>
      <c r="J63" s="128">
        <f t="shared" si="1"/>
        <v>56.120639608948245</v>
      </c>
      <c r="K63" s="128">
        <f t="shared" si="1"/>
        <v>63.755387348052409</v>
      </c>
      <c r="L63" s="26"/>
      <c r="M63" s="26"/>
    </row>
    <row r="66" spans="3:11" x14ac:dyDescent="0.2">
      <c r="I66" s="137"/>
      <c r="J66" s="137"/>
      <c r="K66" s="137"/>
    </row>
    <row r="69" spans="3:11" x14ac:dyDescent="0.2">
      <c r="C69" s="130"/>
      <c r="D69" s="130"/>
      <c r="E69" s="130"/>
      <c r="F69" s="130"/>
      <c r="G69" s="130"/>
      <c r="H69" s="130"/>
    </row>
  </sheetData>
  <sheetProtection formatCells="0" formatColumns="0" formatRows="0" insertColumns="0" insertRows="0" insertHyperlinks="0" deleteColumns="0" deleteRows="0" selectLockedCells="1" sort="0" autoFilter="0" pivotTables="0"/>
  <autoFilter ref="B4:K63">
    <filterColumn colId="1" showButton="0"/>
    <filterColumn colId="2" showButton="0"/>
    <filterColumn colId="4" showButton="0"/>
    <filterColumn colId="5" showButton="0"/>
    <filterColumn colId="7" showButton="0"/>
    <filterColumn colId="8" showButton="0"/>
  </autoFilter>
  <mergeCells count="8">
    <mergeCell ref="A2:K2"/>
    <mergeCell ref="I4:K4"/>
    <mergeCell ref="A1:K1"/>
    <mergeCell ref="A4:A5"/>
    <mergeCell ref="B4:B5"/>
    <mergeCell ref="C4:E4"/>
    <mergeCell ref="F4:H4"/>
    <mergeCell ref="J3:K3"/>
  </mergeCells>
  <phoneticPr fontId="9" type="noConversion"/>
  <pageMargins left="1" right="0.25" top="0.5" bottom="0.5" header="0.3" footer="0.3"/>
  <pageSetup scale="79" orientation="portrait" r:id="rId1"/>
  <headerFooter>
    <oddHeader>&amp;C&amp;P</oddHeader>
    <oddFooter>&amp;CData Table, State Level Banker's Committee, M.P. as on 31.12.2016&amp;RPage No.76</oddFooter>
  </headerFooter>
  <rowBreaks count="1" manualBreakCount="1">
    <brk id="63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7030A0"/>
  </sheetPr>
  <dimension ref="A1:M67"/>
  <sheetViews>
    <sheetView view="pageBreakPreview" zoomScale="60" zoomScaleNormal="100" workbookViewId="0">
      <pane xSplit="1" ySplit="5" topLeftCell="B53" activePane="bottomRight" state="frozen"/>
      <selection pane="topRight" activeCell="B1" sqref="B1"/>
      <selection pane="bottomLeft" activeCell="A6" sqref="A6"/>
      <selection pane="bottomRight" activeCell="G69" sqref="G69"/>
    </sheetView>
  </sheetViews>
  <sheetFormatPr defaultRowHeight="18.75" x14ac:dyDescent="0.2"/>
  <cols>
    <col min="1" max="1" width="5.7109375" style="41" bestFit="1" customWidth="1"/>
    <col min="2" max="2" width="27.42578125" style="38" customWidth="1"/>
    <col min="3" max="3" width="17.85546875" style="40" customWidth="1"/>
    <col min="4" max="4" width="11.85546875" style="40" customWidth="1"/>
    <col min="5" max="5" width="15.7109375" style="40" customWidth="1"/>
    <col min="6" max="6" width="14.85546875" style="40" customWidth="1"/>
    <col min="7" max="7" width="10" style="38" bestFit="1" customWidth="1"/>
    <col min="8" max="8" width="17.5703125" style="32" customWidth="1"/>
    <col min="9" max="9" width="9.140625" style="32"/>
    <col min="10" max="10" width="9.28515625" style="32" bestFit="1" customWidth="1"/>
    <col min="11" max="11" width="11.85546875" style="32" bestFit="1" customWidth="1"/>
    <col min="12" max="12" width="10.42578125" style="32" bestFit="1" customWidth="1"/>
    <col min="13" max="13" width="13.140625" style="32" bestFit="1" customWidth="1"/>
    <col min="14" max="16384" width="9.140625" style="38"/>
  </cols>
  <sheetData>
    <row r="1" spans="1:6" x14ac:dyDescent="0.2">
      <c r="A1" s="536" t="s">
        <v>366</v>
      </c>
      <c r="B1" s="536"/>
      <c r="C1" s="536"/>
      <c r="D1" s="536"/>
      <c r="E1" s="536"/>
      <c r="F1" s="536"/>
    </row>
    <row r="2" spans="1:6" x14ac:dyDescent="0.2">
      <c r="A2" s="545"/>
      <c r="B2" s="545"/>
      <c r="C2" s="545"/>
      <c r="D2" s="545"/>
      <c r="E2" s="545"/>
      <c r="F2" s="545"/>
    </row>
    <row r="3" spans="1:6" ht="14.25" customHeight="1" x14ac:dyDescent="0.2">
      <c r="A3" s="39"/>
      <c r="B3" s="191" t="s">
        <v>12</v>
      </c>
      <c r="F3" s="192" t="s">
        <v>175</v>
      </c>
    </row>
    <row r="4" spans="1:6" ht="30" customHeight="1" x14ac:dyDescent="0.2">
      <c r="A4" s="546" t="s">
        <v>231</v>
      </c>
      <c r="B4" s="546" t="s">
        <v>3</v>
      </c>
      <c r="C4" s="547" t="s">
        <v>365</v>
      </c>
      <c r="D4" s="547" t="s">
        <v>25</v>
      </c>
      <c r="E4" s="548" t="s">
        <v>463</v>
      </c>
      <c r="F4" s="548" t="s">
        <v>45</v>
      </c>
    </row>
    <row r="5" spans="1:6" ht="30" customHeight="1" x14ac:dyDescent="0.2">
      <c r="A5" s="546"/>
      <c r="B5" s="546"/>
      <c r="C5" s="547"/>
      <c r="D5" s="547"/>
      <c r="E5" s="548"/>
      <c r="F5" s="548"/>
    </row>
    <row r="6" spans="1:6" ht="15" customHeight="1" x14ac:dyDescent="0.2">
      <c r="A6" s="188">
        <v>1</v>
      </c>
      <c r="B6" s="189" t="s">
        <v>55</v>
      </c>
      <c r="C6" s="190">
        <v>16578</v>
      </c>
      <c r="D6" s="190">
        <v>75486</v>
      </c>
      <c r="E6" s="190">
        <v>60994</v>
      </c>
      <c r="F6" s="190">
        <v>102456</v>
      </c>
    </row>
    <row r="7" spans="1:6" ht="15" customHeight="1" x14ac:dyDescent="0.2">
      <c r="A7" s="173">
        <v>2</v>
      </c>
      <c r="B7" s="177" t="s">
        <v>56</v>
      </c>
      <c r="C7" s="184">
        <v>322</v>
      </c>
      <c r="D7" s="184">
        <v>693.76</v>
      </c>
      <c r="E7" s="184">
        <v>1206</v>
      </c>
      <c r="F7" s="184">
        <v>2382.2399999999998</v>
      </c>
    </row>
    <row r="8" spans="1:6" ht="15" customHeight="1" x14ac:dyDescent="0.2">
      <c r="A8" s="173">
        <v>3</v>
      </c>
      <c r="B8" s="177" t="s">
        <v>57</v>
      </c>
      <c r="C8" s="184">
        <v>2155</v>
      </c>
      <c r="D8" s="184">
        <v>3655</v>
      </c>
      <c r="E8" s="184">
        <v>33545</v>
      </c>
      <c r="F8" s="184">
        <v>57819</v>
      </c>
    </row>
    <row r="9" spans="1:6" ht="15" customHeight="1" x14ac:dyDescent="0.2">
      <c r="A9" s="188">
        <v>4</v>
      </c>
      <c r="B9" s="177" t="s">
        <v>58</v>
      </c>
      <c r="C9" s="184">
        <v>8431</v>
      </c>
      <c r="D9" s="184">
        <v>41910</v>
      </c>
      <c r="E9" s="184">
        <v>334330</v>
      </c>
      <c r="F9" s="184">
        <v>654866</v>
      </c>
    </row>
    <row r="10" spans="1:6" ht="15" customHeight="1" x14ac:dyDescent="0.2">
      <c r="A10" s="173">
        <v>5</v>
      </c>
      <c r="B10" s="177" t="s">
        <v>59</v>
      </c>
      <c r="C10" s="184">
        <v>20461</v>
      </c>
      <c r="D10" s="184">
        <v>31739</v>
      </c>
      <c r="E10" s="184">
        <v>43051</v>
      </c>
      <c r="F10" s="184">
        <v>44279.01</v>
      </c>
    </row>
    <row r="11" spans="1:6" ht="15" customHeight="1" x14ac:dyDescent="0.2">
      <c r="A11" s="173">
        <v>6</v>
      </c>
      <c r="B11" s="185" t="s">
        <v>242</v>
      </c>
      <c r="C11" s="184">
        <v>0</v>
      </c>
      <c r="D11" s="184">
        <v>0</v>
      </c>
      <c r="E11" s="184">
        <v>0</v>
      </c>
      <c r="F11" s="184">
        <v>0</v>
      </c>
    </row>
    <row r="12" spans="1:6" ht="15" customHeight="1" x14ac:dyDescent="0.2">
      <c r="A12" s="188">
        <v>7</v>
      </c>
      <c r="B12" s="177" t="s">
        <v>60</v>
      </c>
      <c r="C12" s="184">
        <v>2245</v>
      </c>
      <c r="D12" s="184">
        <v>20666</v>
      </c>
      <c r="E12" s="184">
        <v>25576</v>
      </c>
      <c r="F12" s="184">
        <v>51337</v>
      </c>
    </row>
    <row r="13" spans="1:6" ht="15" customHeight="1" x14ac:dyDescent="0.2">
      <c r="A13" s="173">
        <v>8</v>
      </c>
      <c r="B13" s="177" t="s">
        <v>61</v>
      </c>
      <c r="C13" s="184">
        <v>18304</v>
      </c>
      <c r="D13" s="184">
        <v>28260</v>
      </c>
      <c r="E13" s="184">
        <v>234986</v>
      </c>
      <c r="F13" s="184">
        <v>346384</v>
      </c>
    </row>
    <row r="14" spans="1:6" ht="15" customHeight="1" x14ac:dyDescent="0.2">
      <c r="A14" s="173">
        <v>9</v>
      </c>
      <c r="B14" s="177" t="s">
        <v>48</v>
      </c>
      <c r="C14" s="184">
        <v>1908</v>
      </c>
      <c r="D14" s="184">
        <v>5624</v>
      </c>
      <c r="E14" s="184">
        <v>7753</v>
      </c>
      <c r="F14" s="184">
        <v>21871</v>
      </c>
    </row>
    <row r="15" spans="1:6" ht="15" customHeight="1" x14ac:dyDescent="0.2">
      <c r="A15" s="188">
        <v>10</v>
      </c>
      <c r="B15" s="177" t="s">
        <v>49</v>
      </c>
      <c r="C15" s="184">
        <v>2791</v>
      </c>
      <c r="D15" s="184">
        <v>6497</v>
      </c>
      <c r="E15" s="184">
        <v>7882</v>
      </c>
      <c r="F15" s="184">
        <v>15310</v>
      </c>
    </row>
    <row r="16" spans="1:6" ht="15" customHeight="1" x14ac:dyDescent="0.2">
      <c r="A16" s="173">
        <v>11</v>
      </c>
      <c r="B16" s="177" t="s">
        <v>81</v>
      </c>
      <c r="C16" s="184">
        <v>5370</v>
      </c>
      <c r="D16" s="184">
        <v>11376</v>
      </c>
      <c r="E16" s="184">
        <v>15407</v>
      </c>
      <c r="F16" s="184">
        <v>31936</v>
      </c>
    </row>
    <row r="17" spans="1:6" ht="15" customHeight="1" x14ac:dyDescent="0.2">
      <c r="A17" s="173">
        <v>12</v>
      </c>
      <c r="B17" s="177" t="s">
        <v>62</v>
      </c>
      <c r="C17" s="184">
        <v>1770</v>
      </c>
      <c r="D17" s="184">
        <v>2603.23</v>
      </c>
      <c r="E17" s="184">
        <v>1770</v>
      </c>
      <c r="F17" s="184">
        <v>2603</v>
      </c>
    </row>
    <row r="18" spans="1:6" ht="15" customHeight="1" x14ac:dyDescent="0.2">
      <c r="A18" s="188">
        <v>13</v>
      </c>
      <c r="B18" s="177" t="s">
        <v>63</v>
      </c>
      <c r="C18" s="184">
        <v>266</v>
      </c>
      <c r="D18" s="184">
        <v>683</v>
      </c>
      <c r="E18" s="184">
        <v>2025</v>
      </c>
      <c r="F18" s="184">
        <v>3685</v>
      </c>
    </row>
    <row r="19" spans="1:6" ht="15" customHeight="1" x14ac:dyDescent="0.2">
      <c r="A19" s="173">
        <v>14</v>
      </c>
      <c r="B19" s="91" t="s">
        <v>207</v>
      </c>
      <c r="C19" s="184">
        <v>1032</v>
      </c>
      <c r="D19" s="184">
        <v>2263.66</v>
      </c>
      <c r="E19" s="184">
        <v>7444</v>
      </c>
      <c r="F19" s="184">
        <v>16054.11</v>
      </c>
    </row>
    <row r="20" spans="1:6" ht="15" customHeight="1" x14ac:dyDescent="0.2">
      <c r="A20" s="173">
        <v>15</v>
      </c>
      <c r="B20" s="177" t="s">
        <v>208</v>
      </c>
      <c r="C20" s="184">
        <v>523</v>
      </c>
      <c r="D20" s="184">
        <v>934.15</v>
      </c>
      <c r="E20" s="184">
        <v>4376</v>
      </c>
      <c r="F20" s="184">
        <v>8374.86</v>
      </c>
    </row>
    <row r="21" spans="1:6" ht="15" customHeight="1" x14ac:dyDescent="0.2">
      <c r="A21" s="188">
        <v>16</v>
      </c>
      <c r="B21" s="177" t="s">
        <v>64</v>
      </c>
      <c r="C21" s="184">
        <v>15726</v>
      </c>
      <c r="D21" s="184">
        <v>38578</v>
      </c>
      <c r="E21" s="184">
        <v>136591</v>
      </c>
      <c r="F21" s="184">
        <v>189291</v>
      </c>
    </row>
    <row r="22" spans="1:6" ht="15" customHeight="1" x14ac:dyDescent="0.2">
      <c r="A22" s="173">
        <v>17</v>
      </c>
      <c r="B22" s="103" t="s">
        <v>69</v>
      </c>
      <c r="C22" s="184">
        <v>0</v>
      </c>
      <c r="D22" s="184">
        <v>0</v>
      </c>
      <c r="E22" s="184">
        <v>0</v>
      </c>
      <c r="F22" s="184">
        <v>0</v>
      </c>
    </row>
    <row r="23" spans="1:6" ht="15" customHeight="1" x14ac:dyDescent="0.2">
      <c r="A23" s="173">
        <v>18</v>
      </c>
      <c r="B23" s="58" t="s">
        <v>209</v>
      </c>
      <c r="C23" s="184">
        <v>0</v>
      </c>
      <c r="D23" s="184">
        <v>0</v>
      </c>
      <c r="E23" s="184">
        <v>0</v>
      </c>
      <c r="F23" s="184">
        <v>0</v>
      </c>
    </row>
    <row r="24" spans="1:6" ht="15" customHeight="1" x14ac:dyDescent="0.2">
      <c r="A24" s="188">
        <v>19</v>
      </c>
      <c r="B24" s="104" t="s">
        <v>210</v>
      </c>
      <c r="C24" s="184">
        <v>0</v>
      </c>
      <c r="D24" s="184">
        <v>0</v>
      </c>
      <c r="E24" s="184">
        <v>0</v>
      </c>
      <c r="F24" s="184">
        <v>0</v>
      </c>
    </row>
    <row r="25" spans="1:6" ht="15" customHeight="1" x14ac:dyDescent="0.2">
      <c r="A25" s="173">
        <v>20</v>
      </c>
      <c r="B25" s="177" t="s">
        <v>211</v>
      </c>
      <c r="C25" s="184">
        <v>0</v>
      </c>
      <c r="D25" s="184">
        <v>0</v>
      </c>
      <c r="E25" s="184">
        <v>0</v>
      </c>
      <c r="F25" s="184">
        <v>0</v>
      </c>
    </row>
    <row r="26" spans="1:6" ht="15" customHeight="1" x14ac:dyDescent="0.2">
      <c r="A26" s="173">
        <v>21</v>
      </c>
      <c r="B26" s="177" t="s">
        <v>212</v>
      </c>
      <c r="C26" s="184">
        <v>110</v>
      </c>
      <c r="D26" s="184">
        <v>99</v>
      </c>
      <c r="E26" s="184">
        <v>222</v>
      </c>
      <c r="F26" s="184">
        <v>154</v>
      </c>
    </row>
    <row r="27" spans="1:6" ht="15" customHeight="1" x14ac:dyDescent="0.2">
      <c r="A27" s="188">
        <v>22</v>
      </c>
      <c r="B27" s="177" t="s">
        <v>70</v>
      </c>
      <c r="C27" s="184">
        <v>319120</v>
      </c>
      <c r="D27" s="184">
        <v>678841</v>
      </c>
      <c r="E27" s="184">
        <v>544551</v>
      </c>
      <c r="F27" s="184">
        <v>969874</v>
      </c>
    </row>
    <row r="28" spans="1:6" ht="15" customHeight="1" x14ac:dyDescent="0.2">
      <c r="A28" s="173">
        <v>23</v>
      </c>
      <c r="B28" s="177" t="s">
        <v>65</v>
      </c>
      <c r="C28" s="184">
        <v>565</v>
      </c>
      <c r="D28" s="184">
        <v>1224</v>
      </c>
      <c r="E28" s="184">
        <v>6180</v>
      </c>
      <c r="F28" s="184">
        <v>8951</v>
      </c>
    </row>
    <row r="29" spans="1:6" ht="15" customHeight="1" x14ac:dyDescent="0.2">
      <c r="A29" s="173">
        <v>24</v>
      </c>
      <c r="B29" s="177" t="s">
        <v>213</v>
      </c>
      <c r="C29" s="184">
        <v>2594</v>
      </c>
      <c r="D29" s="184">
        <v>4252</v>
      </c>
      <c r="E29" s="184">
        <v>94222</v>
      </c>
      <c r="F29" s="184">
        <v>59066</v>
      </c>
    </row>
    <row r="30" spans="1:6" ht="15" customHeight="1" x14ac:dyDescent="0.2">
      <c r="A30" s="188">
        <v>25</v>
      </c>
      <c r="B30" s="177" t="s">
        <v>66</v>
      </c>
      <c r="C30" s="184">
        <v>11897</v>
      </c>
      <c r="D30" s="184">
        <v>23280</v>
      </c>
      <c r="E30" s="184">
        <v>105921</v>
      </c>
      <c r="F30" s="184">
        <v>204228</v>
      </c>
    </row>
    <row r="31" spans="1:6" ht="15" customHeight="1" x14ac:dyDescent="0.2">
      <c r="A31" s="173">
        <v>26</v>
      </c>
      <c r="B31" s="185" t="s">
        <v>67</v>
      </c>
      <c r="C31" s="184">
        <v>0</v>
      </c>
      <c r="D31" s="184">
        <v>0</v>
      </c>
      <c r="E31" s="184">
        <v>20</v>
      </c>
      <c r="F31" s="184">
        <v>60</v>
      </c>
    </row>
    <row r="32" spans="1:6" ht="15" customHeight="1" x14ac:dyDescent="0.2">
      <c r="A32" s="173">
        <v>27</v>
      </c>
      <c r="B32" s="177" t="s">
        <v>50</v>
      </c>
      <c r="C32" s="184">
        <v>970</v>
      </c>
      <c r="D32" s="184">
        <v>2585</v>
      </c>
      <c r="E32" s="184">
        <v>5026</v>
      </c>
      <c r="F32" s="184">
        <v>12828</v>
      </c>
    </row>
    <row r="33" spans="1:13" s="241" customFormat="1" ht="15" customHeight="1" x14ac:dyDescent="0.2">
      <c r="A33" s="175"/>
      <c r="B33" s="178" t="s">
        <v>288</v>
      </c>
      <c r="C33" s="187">
        <f>SUM(C6:C32)</f>
        <v>433138</v>
      </c>
      <c r="D33" s="187">
        <f t="shared" ref="D33:F33" si="0">SUM(D6:D32)</f>
        <v>981249.8</v>
      </c>
      <c r="E33" s="187">
        <f t="shared" si="0"/>
        <v>1673078</v>
      </c>
      <c r="F33" s="187">
        <f t="shared" si="0"/>
        <v>2803809.22</v>
      </c>
      <c r="H33" s="84"/>
      <c r="I33" s="84"/>
      <c r="J33" s="84"/>
      <c r="K33" s="84"/>
      <c r="L33" s="84"/>
      <c r="M33" s="84"/>
    </row>
    <row r="34" spans="1:13" ht="15" customHeight="1" x14ac:dyDescent="0.2">
      <c r="A34" s="173">
        <v>28</v>
      </c>
      <c r="B34" s="177" t="s">
        <v>47</v>
      </c>
      <c r="C34" s="184">
        <v>1596</v>
      </c>
      <c r="D34" s="184">
        <v>6750.84</v>
      </c>
      <c r="E34" s="184">
        <v>4577</v>
      </c>
      <c r="F34" s="184">
        <v>20518.830000000002</v>
      </c>
    </row>
    <row r="35" spans="1:13" ht="15" customHeight="1" x14ac:dyDescent="0.2">
      <c r="A35" s="173">
        <v>29</v>
      </c>
      <c r="B35" s="177" t="s">
        <v>215</v>
      </c>
      <c r="C35" s="184">
        <v>0</v>
      </c>
      <c r="D35" s="184">
        <v>0</v>
      </c>
      <c r="E35" s="184">
        <v>0</v>
      </c>
      <c r="F35" s="184">
        <v>0</v>
      </c>
    </row>
    <row r="36" spans="1:13" ht="15" customHeight="1" x14ac:dyDescent="0.2">
      <c r="A36" s="173">
        <v>30</v>
      </c>
      <c r="B36" s="177" t="s">
        <v>216</v>
      </c>
      <c r="C36" s="184">
        <v>0</v>
      </c>
      <c r="D36" s="184">
        <v>0</v>
      </c>
      <c r="E36" s="184">
        <v>0</v>
      </c>
      <c r="F36" s="184">
        <v>0</v>
      </c>
    </row>
    <row r="37" spans="1:13" ht="15" customHeight="1" x14ac:dyDescent="0.2">
      <c r="A37" s="173">
        <v>31</v>
      </c>
      <c r="B37" s="177" t="s">
        <v>78</v>
      </c>
      <c r="C37" s="184">
        <v>0</v>
      </c>
      <c r="D37" s="184">
        <v>0</v>
      </c>
      <c r="E37" s="184">
        <v>0</v>
      </c>
      <c r="F37" s="184">
        <v>0</v>
      </c>
    </row>
    <row r="38" spans="1:13" ht="15" customHeight="1" x14ac:dyDescent="0.2">
      <c r="A38" s="173">
        <v>32</v>
      </c>
      <c r="B38" s="177" t="s">
        <v>51</v>
      </c>
      <c r="C38" s="184">
        <v>0</v>
      </c>
      <c r="D38" s="184">
        <v>0</v>
      </c>
      <c r="E38" s="184">
        <v>0</v>
      </c>
      <c r="F38" s="184">
        <v>0</v>
      </c>
    </row>
    <row r="39" spans="1:13" ht="15" customHeight="1" x14ac:dyDescent="0.2">
      <c r="A39" s="173">
        <v>33</v>
      </c>
      <c r="B39" s="177" t="s">
        <v>217</v>
      </c>
      <c r="C39" s="184">
        <v>0</v>
      </c>
      <c r="D39" s="184">
        <v>0</v>
      </c>
      <c r="E39" s="184">
        <v>0</v>
      </c>
      <c r="F39" s="184">
        <v>0</v>
      </c>
    </row>
    <row r="40" spans="1:13" ht="15" customHeight="1" x14ac:dyDescent="0.2">
      <c r="A40" s="173">
        <v>34</v>
      </c>
      <c r="B40" s="177" t="s">
        <v>218</v>
      </c>
      <c r="C40" s="184">
        <v>0</v>
      </c>
      <c r="D40" s="184">
        <v>0</v>
      </c>
      <c r="E40" s="184">
        <v>0</v>
      </c>
      <c r="F40" s="184">
        <v>0</v>
      </c>
    </row>
    <row r="41" spans="1:13" ht="15" customHeight="1" x14ac:dyDescent="0.2">
      <c r="A41" s="173">
        <v>35</v>
      </c>
      <c r="B41" s="177" t="s">
        <v>219</v>
      </c>
      <c r="C41" s="184">
        <v>64</v>
      </c>
      <c r="D41" s="184">
        <v>258.49</v>
      </c>
      <c r="E41" s="184">
        <v>126</v>
      </c>
      <c r="F41" s="184">
        <v>509.42</v>
      </c>
    </row>
    <row r="42" spans="1:13" ht="15" customHeight="1" x14ac:dyDescent="0.2">
      <c r="A42" s="173">
        <v>36</v>
      </c>
      <c r="B42" s="177" t="s">
        <v>71</v>
      </c>
      <c r="C42" s="184">
        <v>31929</v>
      </c>
      <c r="D42" s="184">
        <v>104615</v>
      </c>
      <c r="E42" s="184">
        <v>123058</v>
      </c>
      <c r="F42" s="184">
        <v>265507</v>
      </c>
    </row>
    <row r="43" spans="1:13" ht="15" customHeight="1" x14ac:dyDescent="0.2">
      <c r="A43" s="173">
        <v>37</v>
      </c>
      <c r="B43" s="177" t="s">
        <v>72</v>
      </c>
      <c r="C43" s="184">
        <v>46596</v>
      </c>
      <c r="D43" s="184">
        <v>105004</v>
      </c>
      <c r="E43" s="184">
        <v>66479</v>
      </c>
      <c r="F43" s="184">
        <v>148345</v>
      </c>
    </row>
    <row r="44" spans="1:13" ht="15" customHeight="1" x14ac:dyDescent="0.2">
      <c r="A44" s="173">
        <v>38</v>
      </c>
      <c r="B44" s="177" t="s">
        <v>220</v>
      </c>
      <c r="C44" s="184">
        <v>0</v>
      </c>
      <c r="D44" s="184">
        <v>0</v>
      </c>
      <c r="E44" s="184">
        <v>0</v>
      </c>
      <c r="F44" s="184">
        <v>0</v>
      </c>
    </row>
    <row r="45" spans="1:13" ht="15" customHeight="1" x14ac:dyDescent="0.2">
      <c r="A45" s="173">
        <v>39</v>
      </c>
      <c r="B45" s="177" t="s">
        <v>221</v>
      </c>
      <c r="C45" s="184">
        <v>1071</v>
      </c>
      <c r="D45" s="184">
        <v>1398</v>
      </c>
      <c r="E45" s="184">
        <v>159</v>
      </c>
      <c r="F45" s="184">
        <v>8569</v>
      </c>
    </row>
    <row r="46" spans="1:13" ht="15" customHeight="1" x14ac:dyDescent="0.2">
      <c r="A46" s="173">
        <v>40</v>
      </c>
      <c r="B46" s="177" t="s">
        <v>222</v>
      </c>
      <c r="C46" s="184">
        <v>0</v>
      </c>
      <c r="D46" s="184">
        <v>0</v>
      </c>
      <c r="E46" s="184">
        <v>0</v>
      </c>
      <c r="F46" s="184">
        <v>0</v>
      </c>
    </row>
    <row r="47" spans="1:13" ht="15" customHeight="1" x14ac:dyDescent="0.2">
      <c r="A47" s="173">
        <v>41</v>
      </c>
      <c r="B47" s="177" t="s">
        <v>223</v>
      </c>
      <c r="C47" s="184">
        <v>1</v>
      </c>
      <c r="D47" s="184">
        <v>2</v>
      </c>
      <c r="E47" s="184">
        <v>15</v>
      </c>
      <c r="F47" s="184">
        <v>56</v>
      </c>
    </row>
    <row r="48" spans="1:13" ht="15" customHeight="1" x14ac:dyDescent="0.2">
      <c r="A48" s="173">
        <v>42</v>
      </c>
      <c r="B48" s="177" t="s">
        <v>224</v>
      </c>
      <c r="C48" s="184">
        <v>0</v>
      </c>
      <c r="D48" s="184">
        <v>0</v>
      </c>
      <c r="E48" s="184">
        <v>0</v>
      </c>
      <c r="F48" s="184">
        <v>0</v>
      </c>
    </row>
    <row r="49" spans="1:13" ht="15" customHeight="1" x14ac:dyDescent="0.2">
      <c r="A49" s="173">
        <v>43</v>
      </c>
      <c r="B49" s="186" t="s">
        <v>73</v>
      </c>
      <c r="C49" s="184">
        <v>0</v>
      </c>
      <c r="D49" s="184">
        <v>0</v>
      </c>
      <c r="E49" s="184">
        <v>100</v>
      </c>
      <c r="F49" s="184">
        <v>0</v>
      </c>
    </row>
    <row r="50" spans="1:13" ht="15" customHeight="1" x14ac:dyDescent="0.2">
      <c r="A50" s="173">
        <v>44</v>
      </c>
      <c r="B50" s="177" t="s">
        <v>225</v>
      </c>
      <c r="C50" s="184">
        <v>0</v>
      </c>
      <c r="D50" s="184">
        <v>0</v>
      </c>
      <c r="E50" s="184">
        <v>0</v>
      </c>
      <c r="F50" s="184">
        <v>0</v>
      </c>
    </row>
    <row r="51" spans="1:13" ht="15" customHeight="1" x14ac:dyDescent="0.2">
      <c r="A51" s="173">
        <v>45</v>
      </c>
      <c r="B51" s="177" t="s">
        <v>226</v>
      </c>
      <c r="C51" s="184">
        <v>2116</v>
      </c>
      <c r="D51" s="184">
        <v>4212</v>
      </c>
      <c r="E51" s="184">
        <v>2388</v>
      </c>
      <c r="F51" s="184">
        <v>5167</v>
      </c>
    </row>
    <row r="52" spans="1:13" ht="15" customHeight="1" x14ac:dyDescent="0.2">
      <c r="A52" s="173">
        <v>46</v>
      </c>
      <c r="B52" s="177" t="s">
        <v>227</v>
      </c>
      <c r="C52" s="184">
        <v>0</v>
      </c>
      <c r="D52" s="184">
        <v>0</v>
      </c>
      <c r="E52" s="184">
        <v>0</v>
      </c>
      <c r="F52" s="184">
        <v>0</v>
      </c>
    </row>
    <row r="53" spans="1:13" ht="15" customHeight="1" x14ac:dyDescent="0.2">
      <c r="A53" s="173">
        <v>47</v>
      </c>
      <c r="B53" s="177" t="s">
        <v>77</v>
      </c>
      <c r="C53" s="184">
        <v>0</v>
      </c>
      <c r="D53" s="184">
        <v>0</v>
      </c>
      <c r="E53" s="184">
        <v>0</v>
      </c>
      <c r="F53" s="184">
        <v>0</v>
      </c>
      <c r="G53" s="32"/>
    </row>
    <row r="54" spans="1:13" ht="15" customHeight="1" x14ac:dyDescent="0.2">
      <c r="A54" s="173">
        <v>48</v>
      </c>
      <c r="B54" s="177" t="s">
        <v>228</v>
      </c>
      <c r="C54" s="184">
        <v>0</v>
      </c>
      <c r="D54" s="184">
        <v>0</v>
      </c>
      <c r="E54" s="184">
        <v>0</v>
      </c>
      <c r="F54" s="184">
        <v>0</v>
      </c>
    </row>
    <row r="55" spans="1:13" ht="15" customHeight="1" x14ac:dyDescent="0.2">
      <c r="A55" s="173">
        <v>49</v>
      </c>
      <c r="B55" s="177" t="s">
        <v>76</v>
      </c>
      <c r="C55" s="184">
        <v>11975</v>
      </c>
      <c r="D55" s="184">
        <v>11287</v>
      </c>
      <c r="E55" s="184">
        <v>11975</v>
      </c>
      <c r="F55" s="184">
        <v>6045</v>
      </c>
    </row>
    <row r="56" spans="1:13" ht="15" customHeight="1" x14ac:dyDescent="0.2">
      <c r="A56" s="178"/>
      <c r="B56" s="178" t="s">
        <v>289</v>
      </c>
      <c r="C56" s="187">
        <f>SUM(C34:C55)</f>
        <v>95348</v>
      </c>
      <c r="D56" s="187">
        <f t="shared" ref="D56:F56" si="1">SUM(D34:D55)</f>
        <v>233527.33000000002</v>
      </c>
      <c r="E56" s="187">
        <f t="shared" si="1"/>
        <v>208877</v>
      </c>
      <c r="F56" s="187">
        <f t="shared" si="1"/>
        <v>454717.25</v>
      </c>
      <c r="G56" s="52"/>
    </row>
    <row r="57" spans="1:13" ht="15" customHeight="1" x14ac:dyDescent="0.2">
      <c r="A57" s="173">
        <v>50</v>
      </c>
      <c r="B57" s="177" t="s">
        <v>46</v>
      </c>
      <c r="C57" s="184">
        <v>6684</v>
      </c>
      <c r="D57" s="184">
        <v>11856.13</v>
      </c>
      <c r="E57" s="184">
        <v>126396</v>
      </c>
      <c r="F57" s="184">
        <v>197484.54</v>
      </c>
      <c r="G57" s="52"/>
    </row>
    <row r="58" spans="1:13" ht="15" customHeight="1" x14ac:dyDescent="0.2">
      <c r="A58" s="247">
        <v>51</v>
      </c>
      <c r="B58" s="248" t="s">
        <v>229</v>
      </c>
      <c r="C58" s="184">
        <v>143387</v>
      </c>
      <c r="D58" s="184">
        <v>67285</v>
      </c>
      <c r="E58" s="184">
        <v>193652</v>
      </c>
      <c r="F58" s="184">
        <v>140274</v>
      </c>
      <c r="G58" s="52"/>
    </row>
    <row r="59" spans="1:13" ht="15" customHeight="1" x14ac:dyDescent="0.2">
      <c r="A59" s="173">
        <v>52</v>
      </c>
      <c r="B59" s="177" t="s">
        <v>52</v>
      </c>
      <c r="C59" s="184">
        <v>10573</v>
      </c>
      <c r="D59" s="184">
        <v>17344.41</v>
      </c>
      <c r="E59" s="184">
        <v>189109</v>
      </c>
      <c r="F59" s="184">
        <v>270231.21000000002</v>
      </c>
      <c r="G59" s="52"/>
    </row>
    <row r="60" spans="1:13" s="241" customFormat="1" ht="15" customHeight="1" x14ac:dyDescent="0.2">
      <c r="A60" s="244"/>
      <c r="B60" s="245" t="s">
        <v>295</v>
      </c>
      <c r="C60" s="187">
        <f>SUM(C57:C59)</f>
        <v>160644</v>
      </c>
      <c r="D60" s="187">
        <f t="shared" ref="D60:F60" si="2">SUM(D57:D59)</f>
        <v>96485.540000000008</v>
      </c>
      <c r="E60" s="187">
        <f t="shared" si="2"/>
        <v>509157</v>
      </c>
      <c r="F60" s="187">
        <f t="shared" si="2"/>
        <v>607989.75</v>
      </c>
      <c r="G60" s="246"/>
      <c r="H60" s="84"/>
      <c r="I60" s="84"/>
      <c r="J60" s="84"/>
      <c r="K60" s="84"/>
      <c r="L60" s="84"/>
      <c r="M60" s="84"/>
    </row>
    <row r="61" spans="1:13" ht="15" customHeight="1" x14ac:dyDescent="0.2">
      <c r="A61" s="243">
        <v>53</v>
      </c>
      <c r="B61" s="198" t="s">
        <v>290</v>
      </c>
      <c r="C61" s="184">
        <v>49815</v>
      </c>
      <c r="D61" s="184">
        <v>993835.63</v>
      </c>
      <c r="E61" s="184">
        <v>5312349</v>
      </c>
      <c r="F61" s="184">
        <v>1387502.74</v>
      </c>
      <c r="G61" s="52"/>
    </row>
    <row r="62" spans="1:13" ht="15" customHeight="1" x14ac:dyDescent="0.2">
      <c r="A62" s="243"/>
      <c r="B62" s="198" t="s">
        <v>291</v>
      </c>
      <c r="C62" s="187">
        <f>C61</f>
        <v>49815</v>
      </c>
      <c r="D62" s="187">
        <f t="shared" ref="D62:F62" si="3">D61</f>
        <v>993835.63</v>
      </c>
      <c r="E62" s="187">
        <f t="shared" si="3"/>
        <v>5312349</v>
      </c>
      <c r="F62" s="187">
        <f t="shared" si="3"/>
        <v>1387502.74</v>
      </c>
      <c r="G62" s="52"/>
    </row>
    <row r="63" spans="1:13" ht="15" customHeight="1" x14ac:dyDescent="0.2">
      <c r="A63" s="243"/>
      <c r="B63" s="245" t="s">
        <v>292</v>
      </c>
      <c r="C63" s="187">
        <f>C62+C60+C56+C33</f>
        <v>738945</v>
      </c>
      <c r="D63" s="187">
        <f t="shared" ref="D63:F63" si="4">D62+D60+D56+D33</f>
        <v>2305098.2999999998</v>
      </c>
      <c r="E63" s="187">
        <f t="shared" si="4"/>
        <v>7703461</v>
      </c>
      <c r="F63" s="187">
        <f t="shared" si="4"/>
        <v>5254018.9600000009</v>
      </c>
      <c r="G63" s="52"/>
    </row>
    <row r="64" spans="1:13" x14ac:dyDescent="0.2">
      <c r="A64" s="56"/>
      <c r="B64" s="417" t="s">
        <v>1229</v>
      </c>
      <c r="C64" s="242"/>
      <c r="D64" s="242"/>
      <c r="E64" s="242"/>
      <c r="F64" s="242"/>
      <c r="G64" s="52"/>
    </row>
    <row r="65" spans="5:6" x14ac:dyDescent="0.2">
      <c r="E65" s="36"/>
      <c r="F65" s="36"/>
    </row>
    <row r="67" spans="5:6" x14ac:dyDescent="0.2">
      <c r="F67" s="362"/>
    </row>
  </sheetData>
  <mergeCells count="8">
    <mergeCell ref="A1:F1"/>
    <mergeCell ref="A2:F2"/>
    <mergeCell ref="A4:A5"/>
    <mergeCell ref="B4:B5"/>
    <mergeCell ref="C4:C5"/>
    <mergeCell ref="D4:D5"/>
    <mergeCell ref="E4:E5"/>
    <mergeCell ref="F4:F5"/>
  </mergeCells>
  <phoneticPr fontId="9" type="noConversion"/>
  <conditionalFormatting sqref="B6">
    <cfRule type="duplicateValues" dxfId="60" priority="1"/>
  </conditionalFormatting>
  <conditionalFormatting sqref="B22">
    <cfRule type="duplicateValues" dxfId="59" priority="2"/>
  </conditionalFormatting>
  <conditionalFormatting sqref="B33:B34 B26:B30">
    <cfRule type="duplicateValues" dxfId="58" priority="3"/>
  </conditionalFormatting>
  <conditionalFormatting sqref="B52">
    <cfRule type="duplicateValues" dxfId="57" priority="4"/>
  </conditionalFormatting>
  <conditionalFormatting sqref="B56">
    <cfRule type="duplicateValues" dxfId="56" priority="5"/>
  </conditionalFormatting>
  <conditionalFormatting sqref="B58">
    <cfRule type="duplicateValues" dxfId="55" priority="6"/>
  </conditionalFormatting>
  <pageMargins left="1.2" right="0.7" top="0.39" bottom="0.32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65"/>
  <sheetViews>
    <sheetView view="pageBreakPreview" zoomScale="60" zoomScaleNormal="100" workbookViewId="0">
      <pane xSplit="2" ySplit="5" topLeftCell="C43" activePane="bottomRight" state="frozen"/>
      <selection pane="topRight" activeCell="C1" sqref="C1"/>
      <selection pane="bottomLeft" activeCell="A6" sqref="A6"/>
      <selection pane="bottomRight" activeCell="U52" sqref="U52"/>
    </sheetView>
  </sheetViews>
  <sheetFormatPr defaultRowHeight="12.75" x14ac:dyDescent="0.2"/>
  <cols>
    <col min="1" max="1" width="6" style="4" customWidth="1"/>
    <col min="2" max="2" width="24.42578125" style="4" bestFit="1" customWidth="1"/>
    <col min="3" max="3" width="9.140625" style="5"/>
    <col min="4" max="4" width="10" style="5" customWidth="1"/>
    <col min="5" max="5" width="7.7109375" style="5" bestFit="1" customWidth="1"/>
    <col min="6" max="6" width="9" style="5" bestFit="1" customWidth="1"/>
    <col min="7" max="7" width="6.5703125" style="5" bestFit="1" customWidth="1"/>
    <col min="8" max="8" width="7.28515625" style="5" bestFit="1" customWidth="1"/>
    <col min="9" max="9" width="7.5703125" style="5" bestFit="1" customWidth="1"/>
    <col min="10" max="10" width="8.42578125" style="5" bestFit="1" customWidth="1"/>
    <col min="11" max="11" width="5.85546875" style="5" bestFit="1" customWidth="1"/>
    <col min="12" max="12" width="7.28515625" style="5" bestFit="1" customWidth="1"/>
    <col min="13" max="13" width="6.28515625" style="5" bestFit="1" customWidth="1"/>
    <col min="14" max="14" width="8.140625" style="5" bestFit="1" customWidth="1"/>
    <col min="15" max="15" width="8.42578125" style="5" customWidth="1"/>
    <col min="16" max="16" width="8.28515625" style="5" customWidth="1"/>
    <col min="17" max="17" width="9" style="5" bestFit="1" customWidth="1"/>
    <col min="18" max="18" width="9.140625" style="5" bestFit="1" customWidth="1"/>
    <col min="19" max="19" width="9.140625" style="4"/>
    <col min="20" max="20" width="10" style="28" bestFit="1" customWidth="1"/>
    <col min="21" max="16384" width="9.140625" style="4"/>
  </cols>
  <sheetData>
    <row r="1" spans="1:20" s="331" customFormat="1" ht="20.100000000000001" customHeight="1" x14ac:dyDescent="0.2">
      <c r="A1" s="549" t="s">
        <v>367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T1" s="332"/>
    </row>
    <row r="2" spans="1:20" ht="15" customHeight="1" thickBot="1" x14ac:dyDescent="0.25">
      <c r="B2" s="550" t="s">
        <v>134</v>
      </c>
      <c r="C2" s="550"/>
      <c r="O2" s="551" t="s">
        <v>196</v>
      </c>
      <c r="P2" s="551"/>
    </row>
    <row r="3" spans="1:20" ht="60.75" thickBot="1" x14ac:dyDescent="0.25">
      <c r="A3" s="333" t="s">
        <v>197</v>
      </c>
      <c r="B3" s="334" t="s">
        <v>287</v>
      </c>
      <c r="C3" s="335" t="s">
        <v>275</v>
      </c>
      <c r="D3" s="336" t="s">
        <v>198</v>
      </c>
      <c r="E3" s="554" t="s">
        <v>279</v>
      </c>
      <c r="F3" s="553"/>
      <c r="G3" s="552" t="s">
        <v>192</v>
      </c>
      <c r="H3" s="553"/>
      <c r="I3" s="552" t="s">
        <v>199</v>
      </c>
      <c r="J3" s="553"/>
      <c r="K3" s="556" t="s">
        <v>188</v>
      </c>
      <c r="L3" s="557"/>
      <c r="M3" s="552" t="s">
        <v>193</v>
      </c>
      <c r="N3" s="553"/>
      <c r="O3" s="552" t="s">
        <v>200</v>
      </c>
      <c r="P3" s="553"/>
      <c r="Q3" s="552" t="s">
        <v>194</v>
      </c>
      <c r="R3" s="553"/>
    </row>
    <row r="4" spans="1:20" ht="15.75" thickBot="1" x14ac:dyDescent="0.25">
      <c r="A4" s="337">
        <v>1</v>
      </c>
      <c r="B4" s="338">
        <v>2</v>
      </c>
      <c r="C4" s="339">
        <v>3</v>
      </c>
      <c r="D4" s="339">
        <v>4</v>
      </c>
      <c r="E4" s="554">
        <v>5</v>
      </c>
      <c r="F4" s="553"/>
      <c r="G4" s="552">
        <v>6</v>
      </c>
      <c r="H4" s="553"/>
      <c r="I4" s="552">
        <v>7</v>
      </c>
      <c r="J4" s="553"/>
      <c r="K4" s="552">
        <v>8</v>
      </c>
      <c r="L4" s="553"/>
      <c r="M4" s="552">
        <v>9</v>
      </c>
      <c r="N4" s="553"/>
      <c r="O4" s="552">
        <v>10</v>
      </c>
      <c r="P4" s="553"/>
      <c r="Q4" s="552">
        <v>11</v>
      </c>
      <c r="R4" s="553"/>
    </row>
    <row r="5" spans="1:20" ht="15" x14ac:dyDescent="0.2">
      <c r="A5" s="340"/>
      <c r="B5" s="341" t="s">
        <v>195</v>
      </c>
      <c r="C5" s="342" t="s">
        <v>30</v>
      </c>
      <c r="D5" s="342" t="s">
        <v>30</v>
      </c>
      <c r="E5" s="342" t="s">
        <v>16</v>
      </c>
      <c r="F5" s="342" t="s">
        <v>99</v>
      </c>
      <c r="G5" s="342" t="s">
        <v>16</v>
      </c>
      <c r="H5" s="342" t="s">
        <v>99</v>
      </c>
      <c r="I5" s="342" t="s">
        <v>16</v>
      </c>
      <c r="J5" s="342" t="s">
        <v>99</v>
      </c>
      <c r="K5" s="342" t="s">
        <v>16</v>
      </c>
      <c r="L5" s="342" t="s">
        <v>99</v>
      </c>
      <c r="M5" s="342" t="s">
        <v>189</v>
      </c>
      <c r="N5" s="342" t="s">
        <v>190</v>
      </c>
      <c r="O5" s="342" t="s">
        <v>191</v>
      </c>
      <c r="P5" s="342" t="s">
        <v>99</v>
      </c>
      <c r="Q5" s="342" t="s">
        <v>16</v>
      </c>
      <c r="R5" s="342" t="s">
        <v>99</v>
      </c>
    </row>
    <row r="6" spans="1:20" ht="15" customHeight="1" x14ac:dyDescent="0.2">
      <c r="A6" s="131">
        <v>1</v>
      </c>
      <c r="B6" s="132" t="s">
        <v>55</v>
      </c>
      <c r="C6" s="174">
        <v>588</v>
      </c>
      <c r="D6" s="174">
        <v>564</v>
      </c>
      <c r="E6" s="174">
        <v>564</v>
      </c>
      <c r="F6" s="174">
        <v>1147</v>
      </c>
      <c r="G6" s="174">
        <v>196</v>
      </c>
      <c r="H6" s="174">
        <v>478</v>
      </c>
      <c r="I6" s="174">
        <v>714</v>
      </c>
      <c r="J6" s="174">
        <v>819</v>
      </c>
      <c r="K6" s="174">
        <v>0</v>
      </c>
      <c r="L6" s="174">
        <v>0</v>
      </c>
      <c r="M6" s="174">
        <v>0</v>
      </c>
      <c r="N6" s="174">
        <v>0</v>
      </c>
      <c r="O6" s="174">
        <v>3126</v>
      </c>
      <c r="P6" s="174">
        <v>8124</v>
      </c>
      <c r="Q6" s="174">
        <v>975</v>
      </c>
      <c r="R6" s="174">
        <v>1257</v>
      </c>
      <c r="S6" s="555"/>
    </row>
    <row r="7" spans="1:20" ht="15" customHeight="1" x14ac:dyDescent="0.2">
      <c r="A7" s="131">
        <v>2</v>
      </c>
      <c r="B7" s="132" t="s">
        <v>56</v>
      </c>
      <c r="C7" s="174">
        <v>90</v>
      </c>
      <c r="D7" s="174">
        <v>14</v>
      </c>
      <c r="E7" s="174">
        <v>14</v>
      </c>
      <c r="F7" s="174">
        <v>164.13</v>
      </c>
      <c r="G7" s="174">
        <v>8</v>
      </c>
      <c r="H7" s="174">
        <v>102.22</v>
      </c>
      <c r="I7" s="174">
        <v>13</v>
      </c>
      <c r="J7" s="174">
        <v>44.2</v>
      </c>
      <c r="K7" s="174">
        <v>0</v>
      </c>
      <c r="L7" s="174">
        <v>0</v>
      </c>
      <c r="M7" s="174">
        <v>0</v>
      </c>
      <c r="N7" s="174">
        <v>0</v>
      </c>
      <c r="O7" s="174">
        <v>165</v>
      </c>
      <c r="P7" s="174">
        <v>698.15</v>
      </c>
      <c r="Q7" s="174">
        <v>57</v>
      </c>
      <c r="R7" s="174">
        <v>272.45</v>
      </c>
      <c r="S7" s="555"/>
    </row>
    <row r="8" spans="1:20" ht="15" customHeight="1" x14ac:dyDescent="0.2">
      <c r="A8" s="131">
        <v>3</v>
      </c>
      <c r="B8" s="132" t="s">
        <v>57</v>
      </c>
      <c r="C8" s="174">
        <v>531</v>
      </c>
      <c r="D8" s="174">
        <v>385</v>
      </c>
      <c r="E8" s="174">
        <v>357</v>
      </c>
      <c r="F8" s="174">
        <v>1024</v>
      </c>
      <c r="G8" s="174">
        <v>148</v>
      </c>
      <c r="H8" s="174">
        <v>435.8</v>
      </c>
      <c r="I8" s="174">
        <v>357</v>
      </c>
      <c r="J8" s="174">
        <v>947</v>
      </c>
      <c r="K8" s="174">
        <v>19</v>
      </c>
      <c r="L8" s="174">
        <v>51</v>
      </c>
      <c r="M8" s="174">
        <v>7</v>
      </c>
      <c r="N8" s="174">
        <v>27</v>
      </c>
      <c r="O8" s="174">
        <v>2580</v>
      </c>
      <c r="P8" s="174">
        <v>8014</v>
      </c>
      <c r="Q8" s="174">
        <v>854</v>
      </c>
      <c r="R8" s="174">
        <v>1937.55</v>
      </c>
      <c r="S8" s="555"/>
    </row>
    <row r="9" spans="1:20" ht="15" customHeight="1" x14ac:dyDescent="0.2">
      <c r="A9" s="131">
        <v>4</v>
      </c>
      <c r="B9" s="132" t="s">
        <v>58</v>
      </c>
      <c r="C9" s="174">
        <v>1287</v>
      </c>
      <c r="D9" s="174">
        <v>2897</v>
      </c>
      <c r="E9" s="174">
        <v>2749</v>
      </c>
      <c r="F9" s="174">
        <v>2025</v>
      </c>
      <c r="G9" s="174">
        <v>632</v>
      </c>
      <c r="H9" s="174">
        <v>475</v>
      </c>
      <c r="I9" s="174">
        <v>2428</v>
      </c>
      <c r="J9" s="174">
        <v>1786</v>
      </c>
      <c r="K9" s="174">
        <v>60</v>
      </c>
      <c r="L9" s="174">
        <v>249</v>
      </c>
      <c r="M9" s="174">
        <v>21</v>
      </c>
      <c r="N9" s="174">
        <v>185</v>
      </c>
      <c r="O9" s="174">
        <v>10311</v>
      </c>
      <c r="P9" s="174">
        <v>22700</v>
      </c>
      <c r="Q9" s="174">
        <v>2531</v>
      </c>
      <c r="R9" s="174">
        <v>6196</v>
      </c>
      <c r="S9" s="555"/>
    </row>
    <row r="10" spans="1:20" ht="15" customHeight="1" x14ac:dyDescent="0.2">
      <c r="A10" s="131">
        <v>5</v>
      </c>
      <c r="B10" s="132" t="s">
        <v>59</v>
      </c>
      <c r="C10" s="174">
        <v>429</v>
      </c>
      <c r="D10" s="174">
        <v>194</v>
      </c>
      <c r="E10" s="174">
        <v>170</v>
      </c>
      <c r="F10" s="174">
        <v>789</v>
      </c>
      <c r="G10" s="174">
        <v>89</v>
      </c>
      <c r="H10" s="174">
        <v>378</v>
      </c>
      <c r="I10" s="174">
        <v>170</v>
      </c>
      <c r="J10" s="174">
        <v>260</v>
      </c>
      <c r="K10" s="174">
        <v>0</v>
      </c>
      <c r="L10" s="174">
        <v>0</v>
      </c>
      <c r="M10" s="174">
        <v>0</v>
      </c>
      <c r="N10" s="174">
        <v>0</v>
      </c>
      <c r="O10" s="174">
        <v>1423</v>
      </c>
      <c r="P10" s="174">
        <v>3536.61</v>
      </c>
      <c r="Q10" s="174">
        <v>523</v>
      </c>
      <c r="R10" s="174">
        <v>1223</v>
      </c>
      <c r="S10" s="555"/>
    </row>
    <row r="11" spans="1:20" ht="15" customHeight="1" x14ac:dyDescent="0.2">
      <c r="A11" s="131">
        <v>6</v>
      </c>
      <c r="B11" s="90" t="s">
        <v>242</v>
      </c>
      <c r="C11" s="174">
        <v>9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49.9</v>
      </c>
      <c r="Q11" s="174">
        <v>0</v>
      </c>
      <c r="R11" s="174">
        <v>0</v>
      </c>
      <c r="S11" s="555"/>
    </row>
    <row r="12" spans="1:20" ht="15" customHeight="1" x14ac:dyDescent="0.2">
      <c r="A12" s="131">
        <v>7</v>
      </c>
      <c r="B12" s="132" t="s">
        <v>60</v>
      </c>
      <c r="C12" s="174">
        <v>366</v>
      </c>
      <c r="D12" s="174">
        <v>124</v>
      </c>
      <c r="E12" s="174">
        <v>99</v>
      </c>
      <c r="F12" s="174">
        <v>781</v>
      </c>
      <c r="G12" s="174">
        <v>52</v>
      </c>
      <c r="H12" s="174">
        <v>444</v>
      </c>
      <c r="I12" s="174">
        <v>95</v>
      </c>
      <c r="J12" s="174">
        <v>739</v>
      </c>
      <c r="K12" s="174">
        <v>62</v>
      </c>
      <c r="L12" s="174">
        <v>639</v>
      </c>
      <c r="M12" s="174">
        <v>46</v>
      </c>
      <c r="N12" s="174">
        <v>539</v>
      </c>
      <c r="O12" s="174">
        <v>2484</v>
      </c>
      <c r="P12" s="174">
        <v>7519</v>
      </c>
      <c r="Q12" s="174">
        <v>1702</v>
      </c>
      <c r="R12" s="174">
        <v>3601</v>
      </c>
      <c r="S12" s="555"/>
    </row>
    <row r="13" spans="1:20" ht="15" customHeight="1" x14ac:dyDescent="0.2">
      <c r="A13" s="131">
        <v>8</v>
      </c>
      <c r="B13" s="132" t="s">
        <v>61</v>
      </c>
      <c r="C13" s="174">
        <v>1293</v>
      </c>
      <c r="D13" s="174">
        <v>794</v>
      </c>
      <c r="E13" s="174">
        <v>762</v>
      </c>
      <c r="F13" s="174">
        <v>3442</v>
      </c>
      <c r="G13" s="174">
        <v>636</v>
      </c>
      <c r="H13" s="174">
        <v>646</v>
      </c>
      <c r="I13" s="174">
        <v>762</v>
      </c>
      <c r="J13" s="174">
        <v>1127</v>
      </c>
      <c r="K13" s="174">
        <v>0</v>
      </c>
      <c r="L13" s="174">
        <v>0</v>
      </c>
      <c r="M13" s="174">
        <v>0</v>
      </c>
      <c r="N13" s="174">
        <v>0</v>
      </c>
      <c r="O13" s="174">
        <f>'Pri Sec_outstanding_6'!E13+NPS_OS_8!M13</f>
        <v>11182</v>
      </c>
      <c r="P13" s="174">
        <f>'Pri Sec_outstanding_6'!F13+NPS_OS_8!N13</f>
        <v>28866</v>
      </c>
      <c r="Q13" s="174">
        <v>2178</v>
      </c>
      <c r="R13" s="174">
        <v>7904</v>
      </c>
      <c r="S13" s="555"/>
    </row>
    <row r="14" spans="1:20" ht="15" customHeight="1" x14ac:dyDescent="0.2">
      <c r="A14" s="131">
        <v>9</v>
      </c>
      <c r="B14" s="132" t="s">
        <v>48</v>
      </c>
      <c r="C14" s="174">
        <v>123</v>
      </c>
      <c r="D14" s="174">
        <v>191</v>
      </c>
      <c r="E14" s="174">
        <v>473</v>
      </c>
      <c r="F14" s="174">
        <v>1860.34</v>
      </c>
      <c r="G14" s="174">
        <v>163</v>
      </c>
      <c r="H14" s="174">
        <v>593.57000000000005</v>
      </c>
      <c r="I14" s="174">
        <v>473</v>
      </c>
      <c r="J14" s="174">
        <v>1405.35</v>
      </c>
      <c r="K14" s="174">
        <v>0</v>
      </c>
      <c r="L14" s="174">
        <v>0</v>
      </c>
      <c r="M14" s="174">
        <v>0</v>
      </c>
      <c r="N14" s="174">
        <v>0</v>
      </c>
      <c r="O14" s="174">
        <v>489</v>
      </c>
      <c r="P14" s="174">
        <v>1428</v>
      </c>
      <c r="Q14" s="174">
        <v>163</v>
      </c>
      <c r="R14" s="174">
        <v>593.57000000000005</v>
      </c>
      <c r="S14" s="555"/>
    </row>
    <row r="15" spans="1:20" ht="15" customHeight="1" x14ac:dyDescent="0.2">
      <c r="A15" s="131">
        <v>10</v>
      </c>
      <c r="B15" s="132" t="s">
        <v>49</v>
      </c>
      <c r="C15" s="174">
        <v>189</v>
      </c>
      <c r="D15" s="174">
        <v>60</v>
      </c>
      <c r="E15" s="174">
        <v>60</v>
      </c>
      <c r="F15" s="174">
        <v>318</v>
      </c>
      <c r="G15" s="174">
        <v>23</v>
      </c>
      <c r="H15" s="174">
        <v>33</v>
      </c>
      <c r="I15" s="174">
        <v>60</v>
      </c>
      <c r="J15" s="174">
        <v>244</v>
      </c>
      <c r="K15" s="174">
        <v>0</v>
      </c>
      <c r="L15" s="174">
        <v>0</v>
      </c>
      <c r="M15" s="174">
        <v>0</v>
      </c>
      <c r="N15" s="174">
        <v>0</v>
      </c>
      <c r="O15" s="174">
        <v>780</v>
      </c>
      <c r="P15" s="174">
        <v>1932</v>
      </c>
      <c r="Q15" s="174">
        <v>276</v>
      </c>
      <c r="R15" s="174">
        <v>796</v>
      </c>
      <c r="S15" s="555"/>
    </row>
    <row r="16" spans="1:20" ht="15" customHeight="1" x14ac:dyDescent="0.2">
      <c r="A16" s="131">
        <v>11</v>
      </c>
      <c r="B16" s="132" t="s">
        <v>81</v>
      </c>
      <c r="C16" s="174">
        <v>252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555"/>
    </row>
    <row r="17" spans="1:20" ht="15" customHeight="1" x14ac:dyDescent="0.2">
      <c r="A17" s="131">
        <v>12</v>
      </c>
      <c r="B17" s="132" t="s">
        <v>62</v>
      </c>
      <c r="C17" s="174">
        <v>81</v>
      </c>
      <c r="D17" s="174">
        <v>60</v>
      </c>
      <c r="E17" s="174">
        <v>43</v>
      </c>
      <c r="F17" s="174">
        <v>119</v>
      </c>
      <c r="G17" s="174">
        <v>12</v>
      </c>
      <c r="H17" s="174">
        <v>37</v>
      </c>
      <c r="I17" s="174">
        <v>1</v>
      </c>
      <c r="J17" s="174">
        <v>0.25</v>
      </c>
      <c r="K17" s="174">
        <v>0</v>
      </c>
      <c r="L17" s="174">
        <v>0</v>
      </c>
      <c r="M17" s="174">
        <v>0</v>
      </c>
      <c r="N17" s="174">
        <v>0</v>
      </c>
      <c r="O17" s="174">
        <v>170</v>
      </c>
      <c r="P17" s="174">
        <v>431.83</v>
      </c>
      <c r="Q17" s="174">
        <v>35</v>
      </c>
      <c r="R17" s="174">
        <v>85</v>
      </c>
      <c r="S17" s="555"/>
    </row>
    <row r="18" spans="1:20" ht="15" customHeight="1" x14ac:dyDescent="0.2">
      <c r="A18" s="131">
        <v>13</v>
      </c>
      <c r="B18" s="132" t="s">
        <v>63</v>
      </c>
      <c r="C18" s="174">
        <v>162</v>
      </c>
      <c r="D18" s="174">
        <v>19</v>
      </c>
      <c r="E18" s="174">
        <v>19</v>
      </c>
      <c r="F18" s="174">
        <v>115</v>
      </c>
      <c r="G18" s="174">
        <v>8</v>
      </c>
      <c r="H18" s="174">
        <v>48</v>
      </c>
      <c r="I18" s="174">
        <v>19</v>
      </c>
      <c r="J18" s="174">
        <v>31</v>
      </c>
      <c r="K18" s="174">
        <v>0</v>
      </c>
      <c r="L18" s="174">
        <v>0</v>
      </c>
      <c r="M18" s="174">
        <v>8</v>
      </c>
      <c r="N18" s="174">
        <v>8.4</v>
      </c>
      <c r="O18" s="174">
        <v>319</v>
      </c>
      <c r="P18" s="174">
        <v>896</v>
      </c>
      <c r="Q18" s="174">
        <v>127</v>
      </c>
      <c r="R18" s="174">
        <v>358</v>
      </c>
    </row>
    <row r="19" spans="1:20" ht="15" customHeight="1" x14ac:dyDescent="0.2">
      <c r="A19" s="131">
        <v>14</v>
      </c>
      <c r="B19" s="91" t="s">
        <v>207</v>
      </c>
      <c r="C19" s="174">
        <v>201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</row>
    <row r="20" spans="1:20" ht="15" customHeight="1" x14ac:dyDescent="0.2">
      <c r="A20" s="131">
        <v>15</v>
      </c>
      <c r="B20" s="132" t="s">
        <v>208</v>
      </c>
      <c r="C20" s="174">
        <v>96</v>
      </c>
      <c r="D20" s="174">
        <v>7</v>
      </c>
      <c r="E20" s="174">
        <v>7</v>
      </c>
      <c r="F20" s="174">
        <v>51.13</v>
      </c>
      <c r="G20" s="174">
        <v>1</v>
      </c>
      <c r="H20" s="174">
        <v>0.7</v>
      </c>
      <c r="I20" s="174">
        <v>7</v>
      </c>
      <c r="J20" s="174">
        <v>19.690000000000001</v>
      </c>
      <c r="K20" s="174">
        <v>0</v>
      </c>
      <c r="L20" s="174">
        <v>0</v>
      </c>
      <c r="M20" s="174">
        <v>0</v>
      </c>
      <c r="N20" s="174">
        <v>0</v>
      </c>
      <c r="O20" s="174">
        <v>199</v>
      </c>
      <c r="P20" s="174">
        <v>551.07000000000005</v>
      </c>
      <c r="Q20" s="174">
        <v>80</v>
      </c>
      <c r="R20" s="174">
        <v>278.23</v>
      </c>
    </row>
    <row r="21" spans="1:20" ht="15" customHeight="1" x14ac:dyDescent="0.2">
      <c r="A21" s="131">
        <v>16</v>
      </c>
      <c r="B21" s="132" t="s">
        <v>64</v>
      </c>
      <c r="C21" s="174">
        <v>816</v>
      </c>
      <c r="D21" s="174">
        <v>600</v>
      </c>
      <c r="E21" s="174">
        <v>600</v>
      </c>
      <c r="F21" s="174">
        <v>4641</v>
      </c>
      <c r="G21" s="174">
        <v>189</v>
      </c>
      <c r="H21" s="174">
        <v>1273</v>
      </c>
      <c r="I21" s="174">
        <v>1736</v>
      </c>
      <c r="J21" s="174">
        <v>2494</v>
      </c>
      <c r="K21" s="174">
        <v>0</v>
      </c>
      <c r="L21" s="174">
        <v>0</v>
      </c>
      <c r="M21" s="174">
        <v>0</v>
      </c>
      <c r="N21" s="174">
        <v>0</v>
      </c>
      <c r="O21" s="174">
        <v>7505</v>
      </c>
      <c r="P21" s="174">
        <v>17653</v>
      </c>
      <c r="Q21" s="174">
        <v>2771</v>
      </c>
      <c r="R21" s="174">
        <v>6519</v>
      </c>
    </row>
    <row r="22" spans="1:20" ht="15" customHeight="1" x14ac:dyDescent="0.2">
      <c r="A22" s="131">
        <v>17</v>
      </c>
      <c r="B22" s="91" t="s">
        <v>69</v>
      </c>
      <c r="C22" s="174">
        <v>12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</row>
    <row r="23" spans="1:20" ht="15" customHeight="1" x14ac:dyDescent="0.2">
      <c r="A23" s="131">
        <v>18</v>
      </c>
      <c r="B23" s="58" t="s">
        <v>209</v>
      </c>
      <c r="C23" s="174">
        <v>9</v>
      </c>
      <c r="D23" s="174">
        <v>0</v>
      </c>
      <c r="E23" s="174">
        <v>1</v>
      </c>
      <c r="F23" s="174">
        <v>7.5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5</v>
      </c>
      <c r="P23" s="174">
        <v>8.09</v>
      </c>
      <c r="Q23" s="174">
        <v>0</v>
      </c>
      <c r="R23" s="174">
        <v>0</v>
      </c>
    </row>
    <row r="24" spans="1:20" ht="15" customHeight="1" x14ac:dyDescent="0.2">
      <c r="A24" s="131">
        <v>19</v>
      </c>
      <c r="B24" s="92" t="s">
        <v>210</v>
      </c>
      <c r="C24" s="174">
        <v>18</v>
      </c>
      <c r="D24" s="174">
        <v>10</v>
      </c>
      <c r="E24" s="174">
        <v>6</v>
      </c>
      <c r="F24" s="174">
        <v>23</v>
      </c>
      <c r="G24" s="174">
        <v>4</v>
      </c>
      <c r="H24" s="174">
        <v>15.48</v>
      </c>
      <c r="I24" s="174">
        <v>6</v>
      </c>
      <c r="J24" s="174">
        <v>23</v>
      </c>
      <c r="K24" s="174">
        <v>0</v>
      </c>
      <c r="L24" s="174">
        <v>0</v>
      </c>
      <c r="M24" s="174">
        <v>2</v>
      </c>
      <c r="N24" s="174">
        <v>4</v>
      </c>
      <c r="O24" s="174">
        <v>3</v>
      </c>
      <c r="P24" s="174">
        <v>9.18</v>
      </c>
      <c r="Q24" s="174">
        <v>2</v>
      </c>
      <c r="R24" s="174">
        <v>6</v>
      </c>
    </row>
    <row r="25" spans="1:20" ht="15" customHeight="1" x14ac:dyDescent="0.2">
      <c r="A25" s="131">
        <v>20</v>
      </c>
      <c r="B25" s="132" t="s">
        <v>211</v>
      </c>
      <c r="C25" s="174">
        <v>6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35</v>
      </c>
      <c r="P25" s="174">
        <v>170</v>
      </c>
      <c r="Q25" s="174">
        <v>0</v>
      </c>
      <c r="R25" s="174">
        <v>0</v>
      </c>
    </row>
    <row r="26" spans="1:20" ht="15" customHeight="1" x14ac:dyDescent="0.2">
      <c r="A26" s="131">
        <v>21</v>
      </c>
      <c r="B26" s="132" t="s">
        <v>212</v>
      </c>
      <c r="C26" s="174">
        <v>24</v>
      </c>
      <c r="D26" s="174">
        <v>1</v>
      </c>
      <c r="E26" s="174">
        <v>1</v>
      </c>
      <c r="F26" s="174">
        <v>10</v>
      </c>
      <c r="G26" s="174">
        <v>1</v>
      </c>
      <c r="H26" s="174">
        <v>10</v>
      </c>
      <c r="I26" s="174">
        <v>1</v>
      </c>
      <c r="J26" s="174">
        <v>3</v>
      </c>
      <c r="K26" s="174">
        <v>0</v>
      </c>
      <c r="L26" s="174">
        <v>0</v>
      </c>
      <c r="M26" s="174">
        <v>0</v>
      </c>
      <c r="N26" s="174">
        <v>0</v>
      </c>
      <c r="O26" s="174">
        <v>175</v>
      </c>
      <c r="P26" s="174">
        <v>441</v>
      </c>
      <c r="Q26" s="174">
        <v>60</v>
      </c>
      <c r="R26" s="174">
        <v>170</v>
      </c>
    </row>
    <row r="27" spans="1:20" s="183" customFormat="1" ht="15" customHeight="1" x14ac:dyDescent="0.2">
      <c r="A27" s="131">
        <v>22</v>
      </c>
      <c r="B27" s="132" t="s">
        <v>70</v>
      </c>
      <c r="C27" s="174">
        <v>3105</v>
      </c>
      <c r="D27" s="174">
        <v>7354</v>
      </c>
      <c r="E27" s="174">
        <v>7188</v>
      </c>
      <c r="F27" s="174">
        <v>14257</v>
      </c>
      <c r="G27" s="174">
        <v>874</v>
      </c>
      <c r="H27" s="174">
        <v>2123</v>
      </c>
      <c r="I27" s="174">
        <v>7170</v>
      </c>
      <c r="J27" s="174">
        <v>12538</v>
      </c>
      <c r="K27" s="174">
        <v>0</v>
      </c>
      <c r="L27" s="174">
        <v>0</v>
      </c>
      <c r="M27" s="174">
        <v>852</v>
      </c>
      <c r="N27" s="174">
        <v>2112</v>
      </c>
      <c r="O27" s="174">
        <v>27181</v>
      </c>
      <c r="P27" s="174">
        <v>79363</v>
      </c>
      <c r="Q27" s="174">
        <v>8024</v>
      </c>
      <c r="R27" s="174">
        <v>23386</v>
      </c>
      <c r="T27" s="28"/>
    </row>
    <row r="28" spans="1:20" ht="15" customHeight="1" x14ac:dyDescent="0.2">
      <c r="A28" s="131">
        <v>23</v>
      </c>
      <c r="B28" s="132" t="s">
        <v>65</v>
      </c>
      <c r="C28" s="174">
        <v>186</v>
      </c>
      <c r="D28" s="174">
        <v>153</v>
      </c>
      <c r="E28" s="174">
        <v>97</v>
      </c>
      <c r="F28" s="174">
        <v>35302</v>
      </c>
      <c r="G28" s="174">
        <v>32</v>
      </c>
      <c r="H28" s="174">
        <v>3230</v>
      </c>
      <c r="I28" s="174">
        <v>97</v>
      </c>
      <c r="J28" s="174">
        <v>8395</v>
      </c>
      <c r="K28" s="174">
        <v>0</v>
      </c>
      <c r="L28" s="174">
        <v>0</v>
      </c>
      <c r="M28" s="174">
        <v>0</v>
      </c>
      <c r="N28" s="174">
        <v>0</v>
      </c>
      <c r="O28" s="174">
        <v>881</v>
      </c>
      <c r="P28" s="174">
        <v>2006</v>
      </c>
      <c r="Q28" s="174">
        <v>285</v>
      </c>
      <c r="R28" s="174">
        <v>534</v>
      </c>
    </row>
    <row r="29" spans="1:20" ht="15" customHeight="1" x14ac:dyDescent="0.2">
      <c r="A29" s="131">
        <v>24</v>
      </c>
      <c r="B29" s="132" t="s">
        <v>213</v>
      </c>
      <c r="C29" s="174">
        <v>411</v>
      </c>
      <c r="D29" s="174">
        <v>87</v>
      </c>
      <c r="E29" s="174">
        <v>87</v>
      </c>
      <c r="F29" s="174">
        <v>334</v>
      </c>
      <c r="G29" s="174">
        <v>15</v>
      </c>
      <c r="H29" s="174">
        <v>47</v>
      </c>
      <c r="I29" s="174">
        <v>87</v>
      </c>
      <c r="J29" s="174">
        <v>119</v>
      </c>
      <c r="K29" s="174">
        <v>0</v>
      </c>
      <c r="L29" s="174">
        <v>0</v>
      </c>
      <c r="M29" s="174">
        <v>0</v>
      </c>
      <c r="N29" s="174">
        <v>0</v>
      </c>
      <c r="O29" s="174">
        <v>2753</v>
      </c>
      <c r="P29" s="174">
        <v>6925</v>
      </c>
      <c r="Q29" s="174">
        <v>364</v>
      </c>
      <c r="R29" s="174">
        <v>1213</v>
      </c>
    </row>
    <row r="30" spans="1:20" ht="15" customHeight="1" x14ac:dyDescent="0.2">
      <c r="A30" s="131">
        <v>25</v>
      </c>
      <c r="B30" s="132" t="s">
        <v>66</v>
      </c>
      <c r="C30" s="174">
        <v>828</v>
      </c>
      <c r="D30" s="174">
        <v>425</v>
      </c>
      <c r="E30" s="174">
        <v>416</v>
      </c>
      <c r="F30" s="174">
        <v>2712</v>
      </c>
      <c r="G30" s="174">
        <v>127</v>
      </c>
      <c r="H30" s="174">
        <v>932</v>
      </c>
      <c r="I30" s="174">
        <v>1327</v>
      </c>
      <c r="J30" s="174">
        <v>1536</v>
      </c>
      <c r="K30" s="174">
        <v>0</v>
      </c>
      <c r="L30" s="174">
        <v>0</v>
      </c>
      <c r="M30" s="174">
        <v>0</v>
      </c>
      <c r="N30" s="174">
        <v>0</v>
      </c>
      <c r="O30" s="174">
        <v>3676</v>
      </c>
      <c r="P30" s="174">
        <v>9537</v>
      </c>
      <c r="Q30" s="174">
        <v>1244</v>
      </c>
      <c r="R30" s="174">
        <v>2602</v>
      </c>
    </row>
    <row r="31" spans="1:20" ht="15" customHeight="1" x14ac:dyDescent="0.2">
      <c r="A31" s="131">
        <v>26</v>
      </c>
      <c r="B31" s="90" t="s">
        <v>67</v>
      </c>
      <c r="C31" s="174">
        <v>39</v>
      </c>
      <c r="D31" s="174">
        <v>6</v>
      </c>
      <c r="E31" s="174">
        <v>4</v>
      </c>
      <c r="F31" s="174">
        <v>44</v>
      </c>
      <c r="G31" s="174">
        <v>1</v>
      </c>
      <c r="H31" s="174">
        <v>4</v>
      </c>
      <c r="I31" s="174">
        <v>5</v>
      </c>
      <c r="J31" s="174">
        <v>17</v>
      </c>
      <c r="K31" s="174">
        <v>0</v>
      </c>
      <c r="L31" s="174">
        <v>0</v>
      </c>
      <c r="M31" s="174">
        <v>0</v>
      </c>
      <c r="N31" s="174">
        <v>0</v>
      </c>
      <c r="O31" s="174">
        <v>103</v>
      </c>
      <c r="P31" s="174">
        <v>290</v>
      </c>
      <c r="Q31" s="174">
        <v>36</v>
      </c>
      <c r="R31" s="174">
        <v>91</v>
      </c>
    </row>
    <row r="32" spans="1:20" ht="15" customHeight="1" x14ac:dyDescent="0.2">
      <c r="A32" s="131">
        <v>27</v>
      </c>
      <c r="B32" s="132" t="s">
        <v>50</v>
      </c>
      <c r="C32" s="174">
        <v>159</v>
      </c>
      <c r="D32" s="174">
        <v>79</v>
      </c>
      <c r="E32" s="174">
        <v>79</v>
      </c>
      <c r="F32" s="174">
        <v>435</v>
      </c>
      <c r="G32" s="174">
        <v>37</v>
      </c>
      <c r="H32" s="174">
        <v>210</v>
      </c>
      <c r="I32" s="174">
        <v>79</v>
      </c>
      <c r="J32" s="174">
        <v>149</v>
      </c>
      <c r="K32" s="174">
        <v>0</v>
      </c>
      <c r="L32" s="174">
        <v>0</v>
      </c>
      <c r="M32" s="174">
        <v>37</v>
      </c>
      <c r="N32" s="174">
        <v>77</v>
      </c>
      <c r="O32" s="174">
        <v>446</v>
      </c>
      <c r="P32" s="174">
        <v>1074</v>
      </c>
      <c r="Q32" s="174">
        <v>467</v>
      </c>
      <c r="R32" s="174">
        <v>1113</v>
      </c>
    </row>
    <row r="33" spans="1:20" s="183" customFormat="1" ht="15" customHeight="1" x14ac:dyDescent="0.2">
      <c r="A33" s="319" t="s">
        <v>348</v>
      </c>
      <c r="B33" s="134" t="s">
        <v>288</v>
      </c>
      <c r="C33" s="176">
        <f>SUM(C6:C32)</f>
        <v>11310</v>
      </c>
      <c r="D33" s="176">
        <f t="shared" ref="D33:R33" si="0">SUM(D6:D32)</f>
        <v>14024</v>
      </c>
      <c r="E33" s="176">
        <f t="shared" si="0"/>
        <v>13796</v>
      </c>
      <c r="F33" s="176">
        <f t="shared" si="0"/>
        <v>69601.100000000006</v>
      </c>
      <c r="G33" s="176">
        <f t="shared" si="0"/>
        <v>3248</v>
      </c>
      <c r="H33" s="176">
        <f t="shared" si="0"/>
        <v>11515.77</v>
      </c>
      <c r="I33" s="176">
        <f t="shared" si="0"/>
        <v>15607</v>
      </c>
      <c r="J33" s="176">
        <f t="shared" si="0"/>
        <v>32696.489999999998</v>
      </c>
      <c r="K33" s="176">
        <f t="shared" si="0"/>
        <v>141</v>
      </c>
      <c r="L33" s="176">
        <f t="shared" si="0"/>
        <v>939</v>
      </c>
      <c r="M33" s="176">
        <f t="shared" si="0"/>
        <v>973</v>
      </c>
      <c r="N33" s="176">
        <f t="shared" si="0"/>
        <v>2952.4</v>
      </c>
      <c r="O33" s="176">
        <f>'Pri Sec_outstanding_6'!E33+NPS_OS_8!M33</f>
        <v>78376</v>
      </c>
      <c r="P33" s="176">
        <f>'Pri Sec_outstanding_6'!F33+NPS_OS_8!N33</f>
        <v>208487.58000000002</v>
      </c>
      <c r="Q33" s="176">
        <f t="shared" si="0"/>
        <v>22754</v>
      </c>
      <c r="R33" s="176">
        <f t="shared" si="0"/>
        <v>60135.8</v>
      </c>
      <c r="T33" s="28"/>
    </row>
    <row r="34" spans="1:20" s="183" customFormat="1" ht="15" customHeight="1" x14ac:dyDescent="0.2">
      <c r="A34" s="131">
        <v>28</v>
      </c>
      <c r="B34" s="132" t="s">
        <v>47</v>
      </c>
      <c r="C34" s="174">
        <v>336</v>
      </c>
      <c r="D34" s="174">
        <v>305</v>
      </c>
      <c r="E34" s="174">
        <v>305</v>
      </c>
      <c r="F34" s="174">
        <v>1299.0899999999999</v>
      </c>
      <c r="G34" s="174">
        <v>87</v>
      </c>
      <c r="H34" s="174">
        <v>379.68</v>
      </c>
      <c r="I34" s="174">
        <v>305</v>
      </c>
      <c r="J34" s="174">
        <v>1299.0899999999999</v>
      </c>
      <c r="K34" s="174">
        <v>0</v>
      </c>
      <c r="L34" s="174">
        <v>0</v>
      </c>
      <c r="M34" s="174">
        <v>0</v>
      </c>
      <c r="N34" s="174">
        <v>0</v>
      </c>
      <c r="O34" s="174">
        <v>312</v>
      </c>
      <c r="P34" s="174">
        <v>1429.77</v>
      </c>
      <c r="Q34" s="174">
        <v>51</v>
      </c>
      <c r="R34" s="174">
        <v>98.69</v>
      </c>
      <c r="T34" s="28"/>
    </row>
    <row r="35" spans="1:20" ht="15" customHeight="1" x14ac:dyDescent="0.2">
      <c r="A35" s="131">
        <v>29</v>
      </c>
      <c r="B35" s="132" t="s">
        <v>215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</row>
    <row r="36" spans="1:20" ht="15" customHeight="1" x14ac:dyDescent="0.2">
      <c r="A36" s="131">
        <v>30</v>
      </c>
      <c r="B36" s="132" t="s">
        <v>216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</row>
    <row r="37" spans="1:20" ht="15" customHeight="1" x14ac:dyDescent="0.2">
      <c r="A37" s="131">
        <v>31</v>
      </c>
      <c r="B37" s="132" t="s">
        <v>78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</row>
    <row r="38" spans="1:20" ht="15" customHeight="1" x14ac:dyDescent="0.2">
      <c r="A38" s="131">
        <v>32</v>
      </c>
      <c r="B38" s="132" t="s">
        <v>51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1</v>
      </c>
      <c r="J38" s="174">
        <v>1.61</v>
      </c>
      <c r="K38" s="174">
        <v>0</v>
      </c>
      <c r="L38" s="174">
        <v>0</v>
      </c>
      <c r="M38" s="174">
        <v>0</v>
      </c>
      <c r="N38" s="174">
        <v>0</v>
      </c>
      <c r="O38" s="174">
        <v>3</v>
      </c>
      <c r="P38" s="174">
        <v>28.06</v>
      </c>
      <c r="Q38" s="174">
        <v>0</v>
      </c>
      <c r="R38" s="174">
        <v>0</v>
      </c>
    </row>
    <row r="39" spans="1:20" ht="15" customHeight="1" x14ac:dyDescent="0.2">
      <c r="A39" s="131">
        <v>33</v>
      </c>
      <c r="B39" s="132" t="s">
        <v>217</v>
      </c>
      <c r="C39" s="174">
        <v>6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</row>
    <row r="40" spans="1:20" ht="15" customHeight="1" x14ac:dyDescent="0.2">
      <c r="A40" s="131">
        <v>34</v>
      </c>
      <c r="B40" s="132" t="s">
        <v>218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</row>
    <row r="41" spans="1:20" ht="15" customHeight="1" x14ac:dyDescent="0.2">
      <c r="A41" s="131">
        <v>35</v>
      </c>
      <c r="B41" s="132" t="s">
        <v>219</v>
      </c>
      <c r="C41" s="174">
        <v>12</v>
      </c>
      <c r="D41" s="174">
        <v>4</v>
      </c>
      <c r="E41" s="174">
        <v>1</v>
      </c>
      <c r="F41" s="174">
        <v>17.5</v>
      </c>
      <c r="G41" s="174">
        <v>0</v>
      </c>
      <c r="H41" s="174">
        <v>0</v>
      </c>
      <c r="I41" s="174">
        <v>5</v>
      </c>
      <c r="J41" s="174">
        <v>4.83</v>
      </c>
      <c r="K41" s="174">
        <v>0</v>
      </c>
      <c r="L41" s="174">
        <v>0</v>
      </c>
      <c r="M41" s="174">
        <v>0</v>
      </c>
      <c r="N41" s="174">
        <v>0</v>
      </c>
      <c r="O41" s="174">
        <v>14</v>
      </c>
      <c r="P41" s="174">
        <v>22.24</v>
      </c>
      <c r="Q41" s="174">
        <v>0</v>
      </c>
      <c r="R41" s="174">
        <v>0</v>
      </c>
    </row>
    <row r="42" spans="1:20" ht="15" customHeight="1" x14ac:dyDescent="0.2">
      <c r="A42" s="131">
        <v>36</v>
      </c>
      <c r="B42" s="132" t="s">
        <v>71</v>
      </c>
      <c r="C42" s="174">
        <v>285</v>
      </c>
      <c r="D42" s="174">
        <v>367</v>
      </c>
      <c r="E42" s="174">
        <v>367</v>
      </c>
      <c r="F42" s="174">
        <v>712</v>
      </c>
      <c r="G42" s="174">
        <v>124</v>
      </c>
      <c r="H42" s="174">
        <v>177</v>
      </c>
      <c r="I42" s="174">
        <v>250</v>
      </c>
      <c r="J42" s="174">
        <v>388</v>
      </c>
      <c r="K42" s="174">
        <v>0</v>
      </c>
      <c r="L42" s="174">
        <v>0</v>
      </c>
      <c r="M42" s="174">
        <v>0</v>
      </c>
      <c r="N42" s="174">
        <v>0</v>
      </c>
      <c r="O42" s="174">
        <v>1385</v>
      </c>
      <c r="P42" s="174">
        <v>2731</v>
      </c>
      <c r="Q42" s="174">
        <v>442</v>
      </c>
      <c r="R42" s="174">
        <v>854</v>
      </c>
    </row>
    <row r="43" spans="1:20" ht="15" customHeight="1" x14ac:dyDescent="0.2">
      <c r="A43" s="131">
        <v>37</v>
      </c>
      <c r="B43" s="132" t="s">
        <v>72</v>
      </c>
      <c r="C43" s="174">
        <v>308</v>
      </c>
      <c r="D43" s="174">
        <v>0</v>
      </c>
      <c r="E43" s="174">
        <v>156</v>
      </c>
      <c r="F43" s="174">
        <v>390</v>
      </c>
      <c r="G43" s="174">
        <v>76</v>
      </c>
      <c r="H43" s="174">
        <v>212</v>
      </c>
      <c r="I43" s="174">
        <v>156</v>
      </c>
      <c r="J43" s="174">
        <v>390</v>
      </c>
      <c r="K43" s="174">
        <v>0</v>
      </c>
      <c r="L43" s="174">
        <v>0</v>
      </c>
      <c r="M43" s="174">
        <v>0</v>
      </c>
      <c r="N43" s="174">
        <v>0</v>
      </c>
      <c r="O43" s="174">
        <v>31</v>
      </c>
      <c r="P43" s="174">
        <v>48</v>
      </c>
      <c r="Q43" s="174">
        <v>7</v>
      </c>
      <c r="R43" s="174">
        <v>13</v>
      </c>
    </row>
    <row r="44" spans="1:20" ht="15" customHeight="1" x14ac:dyDescent="0.2">
      <c r="A44" s="131">
        <v>38</v>
      </c>
      <c r="B44" s="132" t="s">
        <v>220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</row>
    <row r="45" spans="1:20" ht="15" customHeight="1" x14ac:dyDescent="0.2">
      <c r="A45" s="131">
        <v>39</v>
      </c>
      <c r="B45" s="132" t="s">
        <v>221</v>
      </c>
      <c r="C45" s="174">
        <v>36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</row>
    <row r="46" spans="1:20" ht="15" customHeight="1" x14ac:dyDescent="0.2">
      <c r="A46" s="131">
        <v>40</v>
      </c>
      <c r="B46" s="132" t="s">
        <v>222</v>
      </c>
      <c r="C46" s="174">
        <v>6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74">
        <v>23</v>
      </c>
      <c r="P46" s="174">
        <v>110</v>
      </c>
      <c r="Q46" s="174">
        <v>0</v>
      </c>
      <c r="R46" s="174">
        <v>0</v>
      </c>
    </row>
    <row r="47" spans="1:20" ht="15" customHeight="1" x14ac:dyDescent="0.2">
      <c r="A47" s="131">
        <v>41</v>
      </c>
      <c r="B47" s="132" t="s">
        <v>223</v>
      </c>
      <c r="C47" s="174">
        <v>15</v>
      </c>
      <c r="D47" s="174">
        <v>3</v>
      </c>
      <c r="E47" s="174">
        <v>6</v>
      </c>
      <c r="F47" s="174">
        <v>41.45</v>
      </c>
      <c r="G47" s="174">
        <v>3</v>
      </c>
      <c r="H47" s="174">
        <v>29.14</v>
      </c>
      <c r="I47" s="174">
        <v>2</v>
      </c>
      <c r="J47" s="174">
        <v>2.3199999999999998</v>
      </c>
      <c r="K47" s="174">
        <v>5</v>
      </c>
      <c r="L47" s="174">
        <v>23.72</v>
      </c>
      <c r="M47" s="174">
        <v>2</v>
      </c>
      <c r="N47" s="174">
        <v>13.4</v>
      </c>
      <c r="O47" s="174">
        <v>16</v>
      </c>
      <c r="P47" s="174">
        <v>1294.53</v>
      </c>
      <c r="Q47" s="174">
        <v>3</v>
      </c>
      <c r="R47" s="174">
        <v>15.41</v>
      </c>
    </row>
    <row r="48" spans="1:20" ht="15" customHeight="1" x14ac:dyDescent="0.2">
      <c r="A48" s="131">
        <v>42</v>
      </c>
      <c r="B48" s="132" t="s">
        <v>224</v>
      </c>
      <c r="C48" s="174">
        <v>9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</row>
    <row r="49" spans="1:20" ht="15" customHeight="1" x14ac:dyDescent="0.2">
      <c r="A49" s="131">
        <v>43</v>
      </c>
      <c r="B49" s="132" t="s">
        <v>73</v>
      </c>
      <c r="C49" s="174">
        <v>33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1</v>
      </c>
      <c r="P49" s="174">
        <v>6</v>
      </c>
      <c r="Q49" s="174">
        <v>0</v>
      </c>
      <c r="R49" s="174">
        <v>0</v>
      </c>
    </row>
    <row r="50" spans="1:20" ht="15" customHeight="1" x14ac:dyDescent="0.2">
      <c r="A50" s="131">
        <v>44</v>
      </c>
      <c r="B50" s="132" t="s">
        <v>225</v>
      </c>
      <c r="C50" s="174">
        <v>3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</row>
    <row r="51" spans="1:20" ht="15" customHeight="1" x14ac:dyDescent="0.2">
      <c r="A51" s="131">
        <v>45</v>
      </c>
      <c r="B51" s="132" t="s">
        <v>226</v>
      </c>
      <c r="C51" s="174">
        <v>39</v>
      </c>
      <c r="D51" s="174">
        <v>341</v>
      </c>
      <c r="E51" s="174">
        <v>341</v>
      </c>
      <c r="F51" s="174">
        <v>78</v>
      </c>
      <c r="G51" s="174">
        <v>341</v>
      </c>
      <c r="H51" s="174">
        <v>78</v>
      </c>
      <c r="I51" s="174">
        <v>341</v>
      </c>
      <c r="J51" s="174">
        <v>78</v>
      </c>
      <c r="K51" s="174">
        <v>0</v>
      </c>
      <c r="L51" s="174">
        <v>0</v>
      </c>
      <c r="M51" s="174">
        <v>341</v>
      </c>
      <c r="N51" s="174">
        <v>78</v>
      </c>
      <c r="O51" s="174">
        <v>815</v>
      </c>
      <c r="P51" s="174">
        <v>98</v>
      </c>
      <c r="Q51" s="174">
        <v>815</v>
      </c>
      <c r="R51" s="174">
        <v>98</v>
      </c>
    </row>
    <row r="52" spans="1:20" s="183" customFormat="1" ht="15" customHeight="1" x14ac:dyDescent="0.2">
      <c r="A52" s="131">
        <v>46</v>
      </c>
      <c r="B52" s="132" t="s">
        <v>227</v>
      </c>
      <c r="C52" s="174">
        <v>6</v>
      </c>
      <c r="D52" s="174">
        <v>3</v>
      </c>
      <c r="E52" s="174">
        <v>3</v>
      </c>
      <c r="F52" s="174">
        <v>15</v>
      </c>
      <c r="G52" s="174">
        <v>1</v>
      </c>
      <c r="H52" s="174">
        <v>5</v>
      </c>
      <c r="I52" s="174">
        <v>3</v>
      </c>
      <c r="J52" s="174">
        <v>15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T52" s="28"/>
    </row>
    <row r="53" spans="1:20" ht="15" customHeight="1" x14ac:dyDescent="0.2">
      <c r="A53" s="131">
        <v>47</v>
      </c>
      <c r="B53" s="132" t="s">
        <v>77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</row>
    <row r="54" spans="1:20" ht="15" customHeight="1" x14ac:dyDescent="0.2">
      <c r="A54" s="131">
        <v>48</v>
      </c>
      <c r="B54" s="132" t="s">
        <v>228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</row>
    <row r="55" spans="1:20" ht="15" customHeight="1" x14ac:dyDescent="0.2">
      <c r="A55" s="131">
        <v>49</v>
      </c>
      <c r="B55" s="132" t="s">
        <v>76</v>
      </c>
      <c r="C55" s="174">
        <v>27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</row>
    <row r="56" spans="1:20" s="183" customFormat="1" ht="15" customHeight="1" x14ac:dyDescent="0.2">
      <c r="A56" s="134" t="s">
        <v>348</v>
      </c>
      <c r="B56" s="134" t="s">
        <v>289</v>
      </c>
      <c r="C56" s="176">
        <f>SUM(C34:C55)</f>
        <v>1121</v>
      </c>
      <c r="D56" s="176">
        <f t="shared" ref="D56:R56" si="1">SUM(D34:D55)</f>
        <v>1023</v>
      </c>
      <c r="E56" s="176">
        <f t="shared" si="1"/>
        <v>1179</v>
      </c>
      <c r="F56" s="176">
        <f t="shared" si="1"/>
        <v>2553.04</v>
      </c>
      <c r="G56" s="176">
        <f t="shared" si="1"/>
        <v>632</v>
      </c>
      <c r="H56" s="176">
        <f t="shared" si="1"/>
        <v>880.82</v>
      </c>
      <c r="I56" s="176">
        <f t="shared" si="1"/>
        <v>1063</v>
      </c>
      <c r="J56" s="176">
        <f t="shared" si="1"/>
        <v>2178.85</v>
      </c>
      <c r="K56" s="176">
        <f t="shared" si="1"/>
        <v>5</v>
      </c>
      <c r="L56" s="176">
        <f t="shared" si="1"/>
        <v>23.72</v>
      </c>
      <c r="M56" s="176">
        <f t="shared" si="1"/>
        <v>343</v>
      </c>
      <c r="N56" s="176">
        <f t="shared" si="1"/>
        <v>91.4</v>
      </c>
      <c r="O56" s="176">
        <f>'Pri Sec_outstanding_6'!E56+NPS_OS_8!M56</f>
        <v>2600</v>
      </c>
      <c r="P56" s="176">
        <f>'Pri Sec_outstanding_6'!F56+NPS_OS_8!N56</f>
        <v>5767.6</v>
      </c>
      <c r="Q56" s="176">
        <f t="shared" si="1"/>
        <v>1318</v>
      </c>
      <c r="R56" s="176">
        <f t="shared" si="1"/>
        <v>1079.0999999999999</v>
      </c>
      <c r="T56" s="28"/>
    </row>
    <row r="57" spans="1:20" ht="15" customHeight="1" x14ac:dyDescent="0.2">
      <c r="A57" s="131">
        <v>50</v>
      </c>
      <c r="B57" s="132" t="s">
        <v>46</v>
      </c>
      <c r="C57" s="174">
        <v>938</v>
      </c>
      <c r="D57" s="174">
        <v>1876</v>
      </c>
      <c r="E57" s="174">
        <v>48</v>
      </c>
      <c r="F57" s="174">
        <v>244</v>
      </c>
      <c r="G57" s="174">
        <v>20</v>
      </c>
      <c r="H57" s="174">
        <v>87.17</v>
      </c>
      <c r="I57" s="174">
        <v>48</v>
      </c>
      <c r="J57" s="174">
        <v>244</v>
      </c>
      <c r="K57" s="174">
        <v>20</v>
      </c>
      <c r="L57" s="174">
        <v>87.17</v>
      </c>
      <c r="M57" s="174">
        <v>20</v>
      </c>
      <c r="N57" s="174">
        <v>87.17</v>
      </c>
      <c r="O57" s="174">
        <f>'Pri Sec_outstanding_6'!E57+NPS_OS_8!M57</f>
        <v>1205</v>
      </c>
      <c r="P57" s="174">
        <f>'Pri Sec_outstanding_6'!F57+NPS_OS_8!N57</f>
        <v>2825.48</v>
      </c>
      <c r="Q57" s="174">
        <v>362</v>
      </c>
      <c r="R57" s="174">
        <v>867.46</v>
      </c>
    </row>
    <row r="58" spans="1:20" s="183" customFormat="1" ht="15" customHeight="1" x14ac:dyDescent="0.2">
      <c r="A58" s="131">
        <v>51</v>
      </c>
      <c r="B58" s="132" t="s">
        <v>229</v>
      </c>
      <c r="C58" s="174">
        <v>894</v>
      </c>
      <c r="D58" s="174">
        <v>32</v>
      </c>
      <c r="E58" s="174">
        <v>32</v>
      </c>
      <c r="F58" s="174">
        <v>90</v>
      </c>
      <c r="G58" s="174">
        <v>8</v>
      </c>
      <c r="H58" s="174">
        <v>24</v>
      </c>
      <c r="I58" s="174">
        <v>25</v>
      </c>
      <c r="J58" s="174">
        <v>33</v>
      </c>
      <c r="K58" s="174">
        <v>0</v>
      </c>
      <c r="L58" s="174">
        <v>0</v>
      </c>
      <c r="M58" s="174">
        <v>0</v>
      </c>
      <c r="N58" s="174">
        <v>0</v>
      </c>
      <c r="O58" s="174">
        <v>636</v>
      </c>
      <c r="P58" s="174">
        <v>1231</v>
      </c>
      <c r="Q58" s="174">
        <v>201</v>
      </c>
      <c r="R58" s="174">
        <v>421</v>
      </c>
      <c r="T58" s="28"/>
    </row>
    <row r="59" spans="1:20" s="183" customFormat="1" ht="15" customHeight="1" x14ac:dyDescent="0.2">
      <c r="A59" s="131">
        <v>52</v>
      </c>
      <c r="B59" s="132" t="s">
        <v>52</v>
      </c>
      <c r="C59" s="174">
        <v>704</v>
      </c>
      <c r="D59" s="174">
        <v>132</v>
      </c>
      <c r="E59" s="174">
        <v>121</v>
      </c>
      <c r="F59" s="174">
        <v>413.52</v>
      </c>
      <c r="G59" s="174">
        <v>39</v>
      </c>
      <c r="H59" s="174">
        <v>121.8</v>
      </c>
      <c r="I59" s="174">
        <v>106</v>
      </c>
      <c r="J59" s="174">
        <v>242.19</v>
      </c>
      <c r="K59" s="174">
        <v>38</v>
      </c>
      <c r="L59" s="174">
        <v>32.04</v>
      </c>
      <c r="M59" s="174">
        <v>38</v>
      </c>
      <c r="N59" s="174">
        <v>32.04</v>
      </c>
      <c r="O59" s="174">
        <f>'Pri Sec_outstanding_6'!E59+NPS_OS_8!M59</f>
        <v>2071</v>
      </c>
      <c r="P59" s="174">
        <f>'Pri Sec_outstanding_6'!F59+NPS_OS_8!N59</f>
        <v>4442</v>
      </c>
      <c r="Q59" s="174">
        <v>534</v>
      </c>
      <c r="R59" s="174">
        <v>817.27</v>
      </c>
      <c r="T59" s="28"/>
    </row>
    <row r="60" spans="1:20" s="183" customFormat="1" ht="15" customHeight="1" x14ac:dyDescent="0.2">
      <c r="A60" s="281" t="s">
        <v>348</v>
      </c>
      <c r="B60" s="282" t="s">
        <v>295</v>
      </c>
      <c r="C60" s="176">
        <f>SUM(C57:C59)</f>
        <v>2536</v>
      </c>
      <c r="D60" s="176">
        <f t="shared" ref="D60:R60" si="2">SUM(D57:D59)</f>
        <v>2040</v>
      </c>
      <c r="E60" s="176">
        <f t="shared" si="2"/>
        <v>201</v>
      </c>
      <c r="F60" s="176">
        <f t="shared" si="2"/>
        <v>747.52</v>
      </c>
      <c r="G60" s="176">
        <f t="shared" si="2"/>
        <v>67</v>
      </c>
      <c r="H60" s="176">
        <f t="shared" si="2"/>
        <v>232.97</v>
      </c>
      <c r="I60" s="176">
        <f t="shared" si="2"/>
        <v>179</v>
      </c>
      <c r="J60" s="176">
        <f t="shared" si="2"/>
        <v>519.19000000000005</v>
      </c>
      <c r="K60" s="176">
        <f t="shared" si="2"/>
        <v>58</v>
      </c>
      <c r="L60" s="176">
        <f t="shared" si="2"/>
        <v>119.21000000000001</v>
      </c>
      <c r="M60" s="176">
        <f t="shared" si="2"/>
        <v>58</v>
      </c>
      <c r="N60" s="176">
        <f t="shared" si="2"/>
        <v>119.21000000000001</v>
      </c>
      <c r="O60" s="176">
        <f>'Pri Sec_outstanding_6'!E60+NPS_OS_8!M60</f>
        <v>3912</v>
      </c>
      <c r="P60" s="176">
        <f>'Pri Sec_outstanding_6'!F60+NPS_OS_8!N60</f>
        <v>8498.48</v>
      </c>
      <c r="Q60" s="176">
        <f t="shared" si="2"/>
        <v>1097</v>
      </c>
      <c r="R60" s="176">
        <f t="shared" si="2"/>
        <v>2105.73</v>
      </c>
      <c r="T60" s="28"/>
    </row>
    <row r="61" spans="1:20" ht="15" customHeight="1" x14ac:dyDescent="0.2">
      <c r="A61" s="278">
        <v>53</v>
      </c>
      <c r="B61" s="279" t="s">
        <v>290</v>
      </c>
      <c r="C61" s="174">
        <v>33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f>'Pri Sec_outstanding_6'!E61+NPS_OS_8!M61</f>
        <v>0</v>
      </c>
      <c r="P61" s="174">
        <f>'Pri Sec_outstanding_6'!F61+NPS_OS_8!N61</f>
        <v>0</v>
      </c>
      <c r="Q61" s="174">
        <v>0</v>
      </c>
      <c r="R61" s="174">
        <v>0</v>
      </c>
    </row>
    <row r="62" spans="1:20" s="183" customFormat="1" ht="15" customHeight="1" x14ac:dyDescent="0.2">
      <c r="A62" s="281" t="s">
        <v>348</v>
      </c>
      <c r="B62" s="282" t="s">
        <v>291</v>
      </c>
      <c r="C62" s="176">
        <f>C61</f>
        <v>33</v>
      </c>
      <c r="D62" s="176">
        <f t="shared" ref="D62:R62" si="3">D61</f>
        <v>0</v>
      </c>
      <c r="E62" s="176">
        <f t="shared" si="3"/>
        <v>0</v>
      </c>
      <c r="F62" s="176">
        <f t="shared" si="3"/>
        <v>0</v>
      </c>
      <c r="G62" s="176">
        <f t="shared" si="3"/>
        <v>0</v>
      </c>
      <c r="H62" s="176">
        <f t="shared" si="3"/>
        <v>0</v>
      </c>
      <c r="I62" s="176">
        <f t="shared" si="3"/>
        <v>0</v>
      </c>
      <c r="J62" s="176">
        <f t="shared" si="3"/>
        <v>0</v>
      </c>
      <c r="K62" s="176">
        <f t="shared" si="3"/>
        <v>0</v>
      </c>
      <c r="L62" s="176">
        <f t="shared" si="3"/>
        <v>0</v>
      </c>
      <c r="M62" s="176">
        <f t="shared" si="3"/>
        <v>0</v>
      </c>
      <c r="N62" s="176">
        <f t="shared" si="3"/>
        <v>0</v>
      </c>
      <c r="O62" s="174">
        <f>'Pri Sec_outstanding_6'!E62+NPS_OS_8!M62</f>
        <v>0</v>
      </c>
      <c r="P62" s="174">
        <f>'Pri Sec_outstanding_6'!F62+NPS_OS_8!N62</f>
        <v>0</v>
      </c>
      <c r="Q62" s="176">
        <f t="shared" si="3"/>
        <v>0</v>
      </c>
      <c r="R62" s="176">
        <f t="shared" si="3"/>
        <v>0</v>
      </c>
      <c r="T62" s="28"/>
    </row>
    <row r="63" spans="1:20" s="183" customFormat="1" ht="15" customHeight="1" x14ac:dyDescent="0.2">
      <c r="A63" s="281" t="s">
        <v>348</v>
      </c>
      <c r="B63" s="282" t="s">
        <v>292</v>
      </c>
      <c r="C63" s="176">
        <f>C62+C60+C56+C33</f>
        <v>15000</v>
      </c>
      <c r="D63" s="176">
        <f t="shared" ref="D63:R63" si="4">D62+D60+D56+D33</f>
        <v>17087</v>
      </c>
      <c r="E63" s="176">
        <f t="shared" si="4"/>
        <v>15176</v>
      </c>
      <c r="F63" s="176">
        <f t="shared" si="4"/>
        <v>72901.66</v>
      </c>
      <c r="G63" s="176">
        <f t="shared" si="4"/>
        <v>3947</v>
      </c>
      <c r="H63" s="176">
        <f t="shared" si="4"/>
        <v>12629.560000000001</v>
      </c>
      <c r="I63" s="176">
        <f t="shared" si="4"/>
        <v>16849</v>
      </c>
      <c r="J63" s="176">
        <f t="shared" si="4"/>
        <v>35394.53</v>
      </c>
      <c r="K63" s="176">
        <f t="shared" si="4"/>
        <v>204</v>
      </c>
      <c r="L63" s="176">
        <f t="shared" si="4"/>
        <v>1081.93</v>
      </c>
      <c r="M63" s="176">
        <f t="shared" si="4"/>
        <v>1374</v>
      </c>
      <c r="N63" s="176">
        <f t="shared" si="4"/>
        <v>3163.01</v>
      </c>
      <c r="O63" s="176">
        <f>'Pri Sec_outstanding_6'!E63+NPS_OS_8!M63</f>
        <v>84888</v>
      </c>
      <c r="P63" s="176">
        <f>'Pri Sec_outstanding_6'!F63+NPS_OS_8!N63</f>
        <v>222753.66000000003</v>
      </c>
      <c r="Q63" s="176">
        <f t="shared" si="4"/>
        <v>25169</v>
      </c>
      <c r="R63" s="176">
        <f t="shared" si="4"/>
        <v>63320.630000000005</v>
      </c>
      <c r="T63" s="28"/>
    </row>
    <row r="65" spans="3:3" x14ac:dyDescent="0.2">
      <c r="C65" s="416" t="s">
        <v>1230</v>
      </c>
    </row>
  </sheetData>
  <autoFilter ref="A5:T63"/>
  <mergeCells count="18">
    <mergeCell ref="S6:S17"/>
    <mergeCell ref="Q4:R4"/>
    <mergeCell ref="E3:F3"/>
    <mergeCell ref="G3:H3"/>
    <mergeCell ref="I3:J3"/>
    <mergeCell ref="K3:L3"/>
    <mergeCell ref="M3:N3"/>
    <mergeCell ref="O3:P3"/>
    <mergeCell ref="A1:R1"/>
    <mergeCell ref="B2:C2"/>
    <mergeCell ref="O2:P2"/>
    <mergeCell ref="Q3:R3"/>
    <mergeCell ref="E4:F4"/>
    <mergeCell ref="G4:H4"/>
    <mergeCell ref="I4:J4"/>
    <mergeCell ref="K4:L4"/>
    <mergeCell ref="M4:N4"/>
    <mergeCell ref="O4:P4"/>
  </mergeCells>
  <conditionalFormatting sqref="B6">
    <cfRule type="duplicateValues" dxfId="54" priority="14"/>
  </conditionalFormatting>
  <conditionalFormatting sqref="B22">
    <cfRule type="duplicateValues" dxfId="53" priority="15"/>
  </conditionalFormatting>
  <conditionalFormatting sqref="B33:B34 B26:B30">
    <cfRule type="duplicateValues" dxfId="52" priority="16"/>
  </conditionalFormatting>
  <conditionalFormatting sqref="B52">
    <cfRule type="duplicateValues" dxfId="51" priority="17"/>
  </conditionalFormatting>
  <conditionalFormatting sqref="B56">
    <cfRule type="duplicateValues" dxfId="50" priority="18"/>
  </conditionalFormatting>
  <conditionalFormatting sqref="B58">
    <cfRule type="duplicateValues" dxfId="49" priority="19"/>
  </conditionalFormatting>
  <conditionalFormatting sqref="T6:T63">
    <cfRule type="cellIs" dxfId="48" priority="1" operator="greaterThan">
      <formula>100</formula>
    </cfRule>
    <cfRule type="cellIs" dxfId="47" priority="2" operator="greaterThan">
      <formula>100</formula>
    </cfRule>
    <cfRule type="cellIs" dxfId="46" priority="5" operator="greaterThan">
      <formula>100</formula>
    </cfRule>
  </conditionalFormatting>
  <conditionalFormatting sqref="T1:T1048576">
    <cfRule type="cellIs" dxfId="45" priority="3" operator="greaterThan">
      <formula>100</formula>
    </cfRule>
    <cfRule type="cellIs" dxfId="44" priority="4" operator="greaterThan">
      <formula>100</formula>
    </cfRule>
  </conditionalFormatting>
  <pageMargins left="0.2" right="0.2" top="0.75" bottom="0.75" header="0.3" footer="0.3"/>
  <pageSetup paperSize="9" scale="6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66"/>
  <sheetViews>
    <sheetView view="pageBreakPreview" zoomScale="60" zoomScaleNormal="100" workbookViewId="0">
      <pane xSplit="2" ySplit="4" topLeftCell="C42" activePane="bottomRight" state="frozen"/>
      <selection pane="topRight" activeCell="C1" sqref="C1"/>
      <selection pane="bottomLeft" activeCell="A6" sqref="A6"/>
      <selection pane="bottomRight" activeCell="G48" sqref="G48"/>
    </sheetView>
  </sheetViews>
  <sheetFormatPr defaultRowHeight="15" x14ac:dyDescent="0.2"/>
  <cols>
    <col min="1" max="1" width="6" style="35" customWidth="1"/>
    <col min="2" max="2" width="22.28515625" style="32" customWidth="1"/>
    <col min="3" max="3" width="9.7109375" style="36" bestFit="1" customWidth="1"/>
    <col min="4" max="4" width="8.5703125" style="36" bestFit="1" customWidth="1"/>
    <col min="5" max="5" width="10.140625" style="36" bestFit="1" customWidth="1"/>
    <col min="6" max="6" width="9.140625" style="36" bestFit="1" customWidth="1"/>
    <col min="7" max="7" width="10.140625" style="32" bestFit="1" customWidth="1"/>
    <col min="8" max="8" width="9.7109375" style="36" customWidth="1"/>
    <col min="9" max="9" width="9.85546875" style="32" bestFit="1" customWidth="1"/>
    <col min="10" max="10" width="9.140625" style="36" bestFit="1" customWidth="1"/>
    <col min="11" max="11" width="11.5703125" style="32" bestFit="1" customWidth="1"/>
    <col min="12" max="16384" width="9.140625" style="32"/>
  </cols>
  <sheetData>
    <row r="1" spans="1:10" ht="15.75" customHeight="1" x14ac:dyDescent="0.2">
      <c r="A1" s="536" t="s">
        <v>368</v>
      </c>
      <c r="B1" s="536"/>
      <c r="C1" s="536"/>
      <c r="D1" s="536"/>
      <c r="E1" s="536"/>
      <c r="F1" s="536"/>
      <c r="G1" s="536"/>
      <c r="H1" s="536"/>
      <c r="I1" s="536"/>
      <c r="J1" s="536"/>
    </row>
    <row r="2" spans="1:10" ht="15" customHeight="1" x14ac:dyDescent="0.2">
      <c r="A2" s="33"/>
      <c r="B2" s="34" t="s">
        <v>12</v>
      </c>
      <c r="C2" s="87"/>
      <c r="D2" s="87"/>
      <c r="I2" s="558" t="s">
        <v>179</v>
      </c>
      <c r="J2" s="558"/>
    </row>
    <row r="3" spans="1:10" ht="15" customHeight="1" x14ac:dyDescent="0.2">
      <c r="A3" s="559" t="s">
        <v>168</v>
      </c>
      <c r="B3" s="561" t="s">
        <v>3</v>
      </c>
      <c r="C3" s="563" t="s">
        <v>1</v>
      </c>
      <c r="D3" s="565"/>
      <c r="E3" s="565"/>
      <c r="F3" s="564"/>
      <c r="G3" s="563" t="s">
        <v>278</v>
      </c>
      <c r="H3" s="565"/>
      <c r="I3" s="565"/>
      <c r="J3" s="564"/>
    </row>
    <row r="4" spans="1:10" ht="15" customHeight="1" x14ac:dyDescent="0.2">
      <c r="A4" s="560"/>
      <c r="B4" s="562"/>
      <c r="C4" s="563" t="s">
        <v>276</v>
      </c>
      <c r="D4" s="564"/>
      <c r="E4" s="532" t="s">
        <v>277</v>
      </c>
      <c r="F4" s="532"/>
      <c r="G4" s="563" t="s">
        <v>276</v>
      </c>
      <c r="H4" s="564"/>
      <c r="I4" s="532" t="s">
        <v>277</v>
      </c>
      <c r="J4" s="532"/>
    </row>
    <row r="5" spans="1:10" ht="15" customHeight="1" x14ac:dyDescent="0.2">
      <c r="A5" s="85"/>
      <c r="B5" s="86"/>
      <c r="C5" s="323" t="s">
        <v>30</v>
      </c>
      <c r="D5" s="325" t="s">
        <v>17</v>
      </c>
      <c r="E5" s="323" t="s">
        <v>30</v>
      </c>
      <c r="F5" s="323" t="s">
        <v>17</v>
      </c>
      <c r="G5" s="323" t="s">
        <v>30</v>
      </c>
      <c r="H5" s="325" t="s">
        <v>17</v>
      </c>
      <c r="I5" s="323" t="s">
        <v>30</v>
      </c>
      <c r="J5" s="323" t="s">
        <v>17</v>
      </c>
    </row>
    <row r="6" spans="1:10" ht="15" customHeight="1" x14ac:dyDescent="0.2">
      <c r="A6" s="131">
        <v>1</v>
      </c>
      <c r="B6" s="132" t="s">
        <v>55</v>
      </c>
      <c r="C6" s="196">
        <v>4635</v>
      </c>
      <c r="D6" s="196">
        <v>140</v>
      </c>
      <c r="E6" s="196">
        <v>1546</v>
      </c>
      <c r="F6" s="196">
        <v>774</v>
      </c>
      <c r="G6" s="196">
        <v>545</v>
      </c>
      <c r="H6" s="196">
        <v>14</v>
      </c>
      <c r="I6" s="196">
        <v>245</v>
      </c>
      <c r="J6" s="196">
        <v>92</v>
      </c>
    </row>
    <row r="7" spans="1:10" ht="15" customHeight="1" x14ac:dyDescent="0.2">
      <c r="A7" s="131">
        <v>2</v>
      </c>
      <c r="B7" s="132" t="s">
        <v>56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</row>
    <row r="8" spans="1:10" ht="15" customHeight="1" x14ac:dyDescent="0.2">
      <c r="A8" s="131">
        <v>3</v>
      </c>
      <c r="B8" s="132" t="s">
        <v>57</v>
      </c>
      <c r="C8" s="184">
        <v>3711</v>
      </c>
      <c r="D8" s="184">
        <v>528</v>
      </c>
      <c r="E8" s="184">
        <v>796</v>
      </c>
      <c r="F8" s="184">
        <v>924</v>
      </c>
      <c r="G8" s="198">
        <v>74</v>
      </c>
      <c r="H8" s="184">
        <v>6.8</v>
      </c>
      <c r="I8" s="198">
        <v>128</v>
      </c>
      <c r="J8" s="184">
        <v>57</v>
      </c>
    </row>
    <row r="9" spans="1:10" ht="15" customHeight="1" x14ac:dyDescent="0.2">
      <c r="A9" s="131">
        <v>4</v>
      </c>
      <c r="B9" s="132" t="s">
        <v>58</v>
      </c>
      <c r="C9" s="199">
        <v>12852</v>
      </c>
      <c r="D9" s="199">
        <v>14692</v>
      </c>
      <c r="E9" s="199">
        <v>7240</v>
      </c>
      <c r="F9" s="199">
        <v>8615</v>
      </c>
      <c r="G9" s="199">
        <v>28</v>
      </c>
      <c r="H9" s="199">
        <v>51</v>
      </c>
      <c r="I9" s="199">
        <v>19</v>
      </c>
      <c r="J9" s="199">
        <v>43</v>
      </c>
    </row>
    <row r="10" spans="1:10" ht="15" customHeight="1" x14ac:dyDescent="0.2">
      <c r="A10" s="131">
        <v>5</v>
      </c>
      <c r="B10" s="132" t="s">
        <v>59</v>
      </c>
      <c r="C10" s="200">
        <v>250</v>
      </c>
      <c r="D10" s="200">
        <v>40</v>
      </c>
      <c r="E10" s="200">
        <v>228</v>
      </c>
      <c r="F10" s="200">
        <v>141</v>
      </c>
      <c r="G10" s="200">
        <v>50</v>
      </c>
      <c r="H10" s="200">
        <v>28</v>
      </c>
      <c r="I10" s="200">
        <v>61</v>
      </c>
      <c r="J10" s="200">
        <v>49</v>
      </c>
    </row>
    <row r="11" spans="1:10" ht="15" customHeight="1" x14ac:dyDescent="0.2">
      <c r="A11" s="131">
        <v>6</v>
      </c>
      <c r="B11" s="90" t="s">
        <v>242</v>
      </c>
      <c r="C11" s="184">
        <v>226</v>
      </c>
      <c r="D11" s="184">
        <v>11.5</v>
      </c>
      <c r="E11" s="184">
        <v>9</v>
      </c>
      <c r="F11" s="184">
        <v>20.55</v>
      </c>
      <c r="G11" s="198">
        <v>20</v>
      </c>
      <c r="H11" s="184">
        <v>0.5</v>
      </c>
      <c r="I11" s="198">
        <v>0</v>
      </c>
      <c r="J11" s="184">
        <v>0</v>
      </c>
    </row>
    <row r="12" spans="1:10" ht="15" customHeight="1" x14ac:dyDescent="0.2">
      <c r="A12" s="131">
        <v>7</v>
      </c>
      <c r="B12" s="132" t="s">
        <v>60</v>
      </c>
      <c r="C12" s="184">
        <v>695</v>
      </c>
      <c r="D12" s="184">
        <v>236</v>
      </c>
      <c r="E12" s="184">
        <v>636</v>
      </c>
      <c r="F12" s="184">
        <v>448</v>
      </c>
      <c r="G12" s="198">
        <v>48</v>
      </c>
      <c r="H12" s="184">
        <v>6</v>
      </c>
      <c r="I12" s="198">
        <v>60</v>
      </c>
      <c r="J12" s="184">
        <v>67</v>
      </c>
    </row>
    <row r="13" spans="1:10" ht="15" customHeight="1" x14ac:dyDescent="0.2">
      <c r="A13" s="131">
        <v>8</v>
      </c>
      <c r="B13" s="132" t="s">
        <v>61</v>
      </c>
      <c r="C13" s="184">
        <v>15380</v>
      </c>
      <c r="D13" s="184">
        <v>722</v>
      </c>
      <c r="E13" s="184">
        <v>6233</v>
      </c>
      <c r="F13" s="184">
        <v>3660</v>
      </c>
      <c r="G13" s="198">
        <v>1695</v>
      </c>
      <c r="H13" s="184">
        <v>26</v>
      </c>
      <c r="I13" s="198">
        <v>1010</v>
      </c>
      <c r="J13" s="184">
        <v>708</v>
      </c>
    </row>
    <row r="14" spans="1:10" ht="15" customHeight="1" x14ac:dyDescent="0.2">
      <c r="A14" s="131">
        <v>9</v>
      </c>
      <c r="B14" s="132" t="s">
        <v>48</v>
      </c>
      <c r="C14" s="184">
        <v>150</v>
      </c>
      <c r="D14" s="184">
        <v>60</v>
      </c>
      <c r="E14" s="184">
        <v>100</v>
      </c>
      <c r="F14" s="184">
        <v>162</v>
      </c>
      <c r="G14" s="198">
        <v>25</v>
      </c>
      <c r="H14" s="184">
        <v>16.25</v>
      </c>
      <c r="I14" s="198">
        <v>15</v>
      </c>
      <c r="J14" s="184">
        <v>3.75</v>
      </c>
    </row>
    <row r="15" spans="1:10" ht="15" customHeight="1" x14ac:dyDescent="0.2">
      <c r="A15" s="131">
        <v>10</v>
      </c>
      <c r="B15" s="132" t="s">
        <v>49</v>
      </c>
      <c r="C15" s="184">
        <v>242</v>
      </c>
      <c r="D15" s="184">
        <v>18</v>
      </c>
      <c r="E15" s="184">
        <v>83</v>
      </c>
      <c r="F15" s="184">
        <v>74</v>
      </c>
      <c r="G15" s="198">
        <v>23</v>
      </c>
      <c r="H15" s="184">
        <v>1</v>
      </c>
      <c r="I15" s="198">
        <v>16</v>
      </c>
      <c r="J15" s="184">
        <v>13</v>
      </c>
    </row>
    <row r="16" spans="1:10" ht="15" customHeight="1" x14ac:dyDescent="0.2">
      <c r="A16" s="131">
        <v>11</v>
      </c>
      <c r="B16" s="132" t="s">
        <v>81</v>
      </c>
      <c r="C16" s="184">
        <v>0</v>
      </c>
      <c r="D16" s="184">
        <v>0</v>
      </c>
      <c r="E16" s="184">
        <v>0</v>
      </c>
      <c r="F16" s="184">
        <v>0</v>
      </c>
      <c r="G16" s="198">
        <v>0</v>
      </c>
      <c r="H16" s="184">
        <v>0</v>
      </c>
      <c r="I16" s="198">
        <v>0</v>
      </c>
      <c r="J16" s="184">
        <v>0</v>
      </c>
    </row>
    <row r="17" spans="1:10" ht="15" customHeight="1" x14ac:dyDescent="0.2">
      <c r="A17" s="131">
        <v>12</v>
      </c>
      <c r="B17" s="132" t="s">
        <v>62</v>
      </c>
      <c r="C17" s="184">
        <v>1214</v>
      </c>
      <c r="D17" s="184">
        <v>112</v>
      </c>
      <c r="E17" s="184">
        <v>791</v>
      </c>
      <c r="F17" s="184">
        <v>898</v>
      </c>
      <c r="G17" s="198">
        <v>175</v>
      </c>
      <c r="H17" s="184">
        <v>15</v>
      </c>
      <c r="I17" s="198">
        <v>75</v>
      </c>
      <c r="J17" s="184">
        <v>5</v>
      </c>
    </row>
    <row r="18" spans="1:10" ht="15" customHeight="1" x14ac:dyDescent="0.2">
      <c r="A18" s="131">
        <v>13</v>
      </c>
      <c r="B18" s="132" t="s">
        <v>63</v>
      </c>
      <c r="C18" s="184">
        <v>14</v>
      </c>
      <c r="D18" s="184">
        <v>10</v>
      </c>
      <c r="E18" s="184">
        <v>0</v>
      </c>
      <c r="F18" s="184">
        <v>0</v>
      </c>
      <c r="G18" s="198">
        <v>4</v>
      </c>
      <c r="H18" s="184">
        <v>9</v>
      </c>
      <c r="I18" s="198">
        <v>0</v>
      </c>
      <c r="J18" s="184">
        <v>0</v>
      </c>
    </row>
    <row r="19" spans="1:10" ht="15" customHeight="1" x14ac:dyDescent="0.2">
      <c r="A19" s="131">
        <v>14</v>
      </c>
      <c r="B19" s="91" t="s">
        <v>207</v>
      </c>
      <c r="C19" s="184">
        <v>837</v>
      </c>
      <c r="D19" s="184">
        <v>66.900000000000006</v>
      </c>
      <c r="E19" s="184">
        <v>86</v>
      </c>
      <c r="F19" s="184">
        <v>79.09</v>
      </c>
      <c r="G19" s="198">
        <v>0</v>
      </c>
      <c r="H19" s="184">
        <v>0</v>
      </c>
      <c r="I19" s="198">
        <v>1</v>
      </c>
      <c r="J19" s="184">
        <v>0.5</v>
      </c>
    </row>
    <row r="20" spans="1:10" ht="15" customHeight="1" x14ac:dyDescent="0.2">
      <c r="A20" s="131">
        <v>15</v>
      </c>
      <c r="B20" s="132" t="s">
        <v>208</v>
      </c>
      <c r="C20" s="184">
        <v>25</v>
      </c>
      <c r="D20" s="184">
        <v>1.25</v>
      </c>
      <c r="E20" s="184">
        <v>22</v>
      </c>
      <c r="F20" s="184">
        <v>22</v>
      </c>
      <c r="G20" s="198">
        <v>0</v>
      </c>
      <c r="H20" s="184">
        <v>0</v>
      </c>
      <c r="I20" s="198">
        <v>0</v>
      </c>
      <c r="J20" s="184">
        <v>0</v>
      </c>
    </row>
    <row r="21" spans="1:10" ht="15" customHeight="1" x14ac:dyDescent="0.2">
      <c r="A21" s="131">
        <v>16</v>
      </c>
      <c r="B21" s="132" t="s">
        <v>64</v>
      </c>
      <c r="C21" s="184">
        <v>7051</v>
      </c>
      <c r="D21" s="184">
        <v>1043</v>
      </c>
      <c r="E21" s="184">
        <v>3376</v>
      </c>
      <c r="F21" s="184">
        <v>3301</v>
      </c>
      <c r="G21" s="198">
        <v>444</v>
      </c>
      <c r="H21" s="184">
        <v>4</v>
      </c>
      <c r="I21" s="198">
        <v>190</v>
      </c>
      <c r="J21" s="184">
        <v>220</v>
      </c>
    </row>
    <row r="22" spans="1:10" ht="15" customHeight="1" x14ac:dyDescent="0.2">
      <c r="A22" s="131">
        <v>17</v>
      </c>
      <c r="B22" s="103" t="s">
        <v>69</v>
      </c>
      <c r="C22" s="184">
        <v>0</v>
      </c>
      <c r="D22" s="184">
        <v>0</v>
      </c>
      <c r="E22" s="184">
        <v>0</v>
      </c>
      <c r="F22" s="184">
        <v>0</v>
      </c>
      <c r="G22" s="198">
        <v>0</v>
      </c>
      <c r="H22" s="184">
        <v>0</v>
      </c>
      <c r="I22" s="198">
        <v>0</v>
      </c>
      <c r="J22" s="184">
        <v>0</v>
      </c>
    </row>
    <row r="23" spans="1:10" ht="15" customHeight="1" x14ac:dyDescent="0.2">
      <c r="A23" s="131">
        <v>18</v>
      </c>
      <c r="B23" s="58" t="s">
        <v>209</v>
      </c>
      <c r="C23" s="184">
        <v>0</v>
      </c>
      <c r="D23" s="184">
        <v>0</v>
      </c>
      <c r="E23" s="184">
        <v>0</v>
      </c>
      <c r="F23" s="184">
        <v>0</v>
      </c>
      <c r="G23" s="198">
        <v>0</v>
      </c>
      <c r="H23" s="184">
        <v>0</v>
      </c>
      <c r="I23" s="198">
        <v>0</v>
      </c>
      <c r="J23" s="184">
        <v>0</v>
      </c>
    </row>
    <row r="24" spans="1:10" ht="15" customHeight="1" x14ac:dyDescent="0.2">
      <c r="A24" s="131">
        <v>19</v>
      </c>
      <c r="B24" s="104" t="s">
        <v>210</v>
      </c>
      <c r="C24" s="184">
        <v>0</v>
      </c>
      <c r="D24" s="184">
        <v>0</v>
      </c>
      <c r="E24" s="184">
        <v>0</v>
      </c>
      <c r="F24" s="184">
        <v>0</v>
      </c>
      <c r="G24" s="198">
        <v>0</v>
      </c>
      <c r="H24" s="184">
        <v>0</v>
      </c>
      <c r="I24" s="198">
        <v>0</v>
      </c>
      <c r="J24" s="184">
        <v>0</v>
      </c>
    </row>
    <row r="25" spans="1:10" ht="15" customHeight="1" x14ac:dyDescent="0.2">
      <c r="A25" s="131">
        <v>20</v>
      </c>
      <c r="B25" s="132" t="s">
        <v>211</v>
      </c>
      <c r="C25" s="184">
        <v>0</v>
      </c>
      <c r="D25" s="184">
        <v>0</v>
      </c>
      <c r="E25" s="184">
        <v>0</v>
      </c>
      <c r="F25" s="184">
        <v>0</v>
      </c>
      <c r="G25" s="184">
        <v>0</v>
      </c>
      <c r="H25" s="184">
        <v>0</v>
      </c>
      <c r="I25" s="184">
        <v>0</v>
      </c>
      <c r="J25" s="184">
        <v>0</v>
      </c>
    </row>
    <row r="26" spans="1:10" ht="15" customHeight="1" x14ac:dyDescent="0.2">
      <c r="A26" s="131">
        <v>21</v>
      </c>
      <c r="B26" s="132" t="s">
        <v>212</v>
      </c>
      <c r="C26" s="184">
        <v>0</v>
      </c>
      <c r="D26" s="184">
        <v>0</v>
      </c>
      <c r="E26" s="184">
        <v>0</v>
      </c>
      <c r="F26" s="184">
        <v>0</v>
      </c>
      <c r="G26" s="198">
        <v>0</v>
      </c>
      <c r="H26" s="184">
        <v>0</v>
      </c>
      <c r="I26" s="198">
        <v>0</v>
      </c>
      <c r="J26" s="184">
        <v>0</v>
      </c>
    </row>
    <row r="27" spans="1:10" ht="15" customHeight="1" x14ac:dyDescent="0.2">
      <c r="A27" s="131">
        <v>22</v>
      </c>
      <c r="B27" s="132" t="s">
        <v>70</v>
      </c>
      <c r="C27" s="184">
        <v>28895</v>
      </c>
      <c r="D27" s="184">
        <v>8290</v>
      </c>
      <c r="E27" s="184">
        <v>23057</v>
      </c>
      <c r="F27" s="184">
        <v>5288</v>
      </c>
      <c r="G27" s="184">
        <v>1354</v>
      </c>
      <c r="H27" s="184">
        <v>1178</v>
      </c>
      <c r="I27" s="184">
        <v>1041</v>
      </c>
      <c r="J27" s="184">
        <v>956</v>
      </c>
    </row>
    <row r="28" spans="1:10" ht="15" customHeight="1" x14ac:dyDescent="0.2">
      <c r="A28" s="131">
        <v>23</v>
      </c>
      <c r="B28" s="132" t="s">
        <v>65</v>
      </c>
      <c r="C28" s="184">
        <v>10</v>
      </c>
      <c r="D28" s="184">
        <v>26</v>
      </c>
      <c r="E28" s="184">
        <v>1</v>
      </c>
      <c r="F28" s="184">
        <v>0.32</v>
      </c>
      <c r="G28" s="184">
        <v>51</v>
      </c>
      <c r="H28" s="184">
        <v>61</v>
      </c>
      <c r="I28" s="184">
        <v>16</v>
      </c>
      <c r="J28" s="184">
        <v>10</v>
      </c>
    </row>
    <row r="29" spans="1:10" ht="15" customHeight="1" x14ac:dyDescent="0.2">
      <c r="A29" s="131">
        <v>24</v>
      </c>
      <c r="B29" s="132" t="s">
        <v>213</v>
      </c>
      <c r="C29" s="184">
        <v>4930</v>
      </c>
      <c r="D29" s="184">
        <v>380</v>
      </c>
      <c r="E29" s="184">
        <v>1043</v>
      </c>
      <c r="F29" s="184">
        <v>4313</v>
      </c>
      <c r="G29" s="184">
        <v>262</v>
      </c>
      <c r="H29" s="184">
        <v>21</v>
      </c>
      <c r="I29" s="184">
        <v>20</v>
      </c>
      <c r="J29" s="184">
        <v>13</v>
      </c>
    </row>
    <row r="30" spans="1:10" ht="15" customHeight="1" x14ac:dyDescent="0.2">
      <c r="A30" s="131">
        <v>25</v>
      </c>
      <c r="B30" s="132" t="s">
        <v>66</v>
      </c>
      <c r="C30" s="184">
        <v>8412</v>
      </c>
      <c r="D30" s="184">
        <v>83</v>
      </c>
      <c r="E30" s="184">
        <v>7531</v>
      </c>
      <c r="F30" s="184">
        <v>5935</v>
      </c>
      <c r="G30" s="198">
        <v>931</v>
      </c>
      <c r="H30" s="184">
        <v>53</v>
      </c>
      <c r="I30" s="198">
        <v>211</v>
      </c>
      <c r="J30" s="184">
        <v>132</v>
      </c>
    </row>
    <row r="31" spans="1:10" ht="15" customHeight="1" x14ac:dyDescent="0.2">
      <c r="A31" s="131">
        <v>26</v>
      </c>
      <c r="B31" s="90" t="s">
        <v>67</v>
      </c>
      <c r="C31" s="184">
        <v>0</v>
      </c>
      <c r="D31" s="184">
        <v>0</v>
      </c>
      <c r="E31" s="184">
        <v>0</v>
      </c>
      <c r="F31" s="184">
        <v>0</v>
      </c>
      <c r="G31" s="198">
        <v>0</v>
      </c>
      <c r="H31" s="184">
        <v>0</v>
      </c>
      <c r="I31" s="198">
        <v>0</v>
      </c>
      <c r="J31" s="184">
        <v>0</v>
      </c>
    </row>
    <row r="32" spans="1:10" ht="15" customHeight="1" x14ac:dyDescent="0.2">
      <c r="A32" s="131">
        <v>27</v>
      </c>
      <c r="B32" s="132" t="s">
        <v>50</v>
      </c>
      <c r="C32" s="184">
        <v>678</v>
      </c>
      <c r="D32" s="184">
        <v>2.72</v>
      </c>
      <c r="E32" s="184">
        <v>36</v>
      </c>
      <c r="F32" s="184">
        <v>12.71</v>
      </c>
      <c r="G32" s="184">
        <v>122</v>
      </c>
      <c r="H32" s="184">
        <v>0.39</v>
      </c>
      <c r="I32" s="184">
        <v>17</v>
      </c>
      <c r="J32" s="184">
        <v>5.34</v>
      </c>
    </row>
    <row r="33" spans="1:10" s="84" customFormat="1" ht="15" customHeight="1" x14ac:dyDescent="0.2">
      <c r="A33" s="322" t="s">
        <v>348</v>
      </c>
      <c r="B33" s="134" t="s">
        <v>288</v>
      </c>
      <c r="C33" s="187">
        <f>SUM(C6:C32)</f>
        <v>90207</v>
      </c>
      <c r="D33" s="187">
        <f t="shared" ref="D33:J33" si="0">SUM(D6:D32)</f>
        <v>26462.370000000003</v>
      </c>
      <c r="E33" s="187">
        <f t="shared" si="0"/>
        <v>52814</v>
      </c>
      <c r="F33" s="187">
        <f t="shared" si="0"/>
        <v>34667.67</v>
      </c>
      <c r="G33" s="187">
        <f t="shared" si="0"/>
        <v>5851</v>
      </c>
      <c r="H33" s="187">
        <f t="shared" si="0"/>
        <v>1490.94</v>
      </c>
      <c r="I33" s="187">
        <f t="shared" si="0"/>
        <v>3125</v>
      </c>
      <c r="J33" s="187">
        <f t="shared" si="0"/>
        <v>2374.59</v>
      </c>
    </row>
    <row r="34" spans="1:10" ht="15" customHeight="1" x14ac:dyDescent="0.2">
      <c r="A34" s="131">
        <v>28</v>
      </c>
      <c r="B34" s="132" t="s">
        <v>47</v>
      </c>
      <c r="C34" s="184">
        <v>0</v>
      </c>
      <c r="D34" s="184">
        <v>0</v>
      </c>
      <c r="E34" s="184">
        <v>4</v>
      </c>
      <c r="F34" s="184">
        <v>0.89</v>
      </c>
      <c r="G34" s="184">
        <v>0</v>
      </c>
      <c r="H34" s="184">
        <v>0</v>
      </c>
      <c r="I34" s="184">
        <v>0</v>
      </c>
      <c r="J34" s="184">
        <v>0</v>
      </c>
    </row>
    <row r="35" spans="1:10" ht="15" customHeight="1" x14ac:dyDescent="0.2">
      <c r="A35" s="131">
        <v>29</v>
      </c>
      <c r="B35" s="132" t="s">
        <v>215</v>
      </c>
      <c r="C35" s="184">
        <v>189964</v>
      </c>
      <c r="D35" s="184">
        <v>41133</v>
      </c>
      <c r="E35" s="184">
        <v>189964</v>
      </c>
      <c r="F35" s="184">
        <v>41133</v>
      </c>
      <c r="G35" s="198">
        <v>19638</v>
      </c>
      <c r="H35" s="184">
        <v>4252</v>
      </c>
      <c r="I35" s="198">
        <v>19638</v>
      </c>
      <c r="J35" s="184">
        <v>4252</v>
      </c>
    </row>
    <row r="36" spans="1:10" ht="15" customHeight="1" x14ac:dyDescent="0.2">
      <c r="A36" s="131">
        <v>30</v>
      </c>
      <c r="B36" s="132" t="s">
        <v>216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</row>
    <row r="37" spans="1:10" ht="15" customHeight="1" x14ac:dyDescent="0.2">
      <c r="A37" s="131">
        <v>31</v>
      </c>
      <c r="B37" s="132" t="s">
        <v>78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</row>
    <row r="38" spans="1:10" ht="15" customHeight="1" x14ac:dyDescent="0.2">
      <c r="A38" s="131">
        <v>32</v>
      </c>
      <c r="B38" s="132" t="s">
        <v>51</v>
      </c>
      <c r="C38" s="184">
        <v>0</v>
      </c>
      <c r="D38" s="184">
        <v>0</v>
      </c>
      <c r="E38" s="184">
        <v>0</v>
      </c>
      <c r="F38" s="184">
        <v>0</v>
      </c>
      <c r="G38" s="198">
        <v>0</v>
      </c>
      <c r="H38" s="184">
        <v>0</v>
      </c>
      <c r="I38" s="198">
        <v>0</v>
      </c>
      <c r="J38" s="184">
        <v>0</v>
      </c>
    </row>
    <row r="39" spans="1:10" ht="15" customHeight="1" x14ac:dyDescent="0.2">
      <c r="A39" s="131">
        <v>33</v>
      </c>
      <c r="B39" s="132" t="s">
        <v>217</v>
      </c>
      <c r="C39" s="184">
        <v>0</v>
      </c>
      <c r="D39" s="184">
        <v>0</v>
      </c>
      <c r="E39" s="184">
        <v>0</v>
      </c>
      <c r="F39" s="184">
        <v>0</v>
      </c>
      <c r="G39" s="198">
        <v>0</v>
      </c>
      <c r="H39" s="184">
        <v>0</v>
      </c>
      <c r="I39" s="198">
        <v>0</v>
      </c>
      <c r="J39" s="184">
        <v>0</v>
      </c>
    </row>
    <row r="40" spans="1:10" ht="15" customHeight="1" x14ac:dyDescent="0.2">
      <c r="A40" s="131">
        <v>34</v>
      </c>
      <c r="B40" s="132" t="s">
        <v>218</v>
      </c>
      <c r="C40" s="184">
        <v>0</v>
      </c>
      <c r="D40" s="184">
        <v>0</v>
      </c>
      <c r="E40" s="184">
        <v>0</v>
      </c>
      <c r="F40" s="184">
        <v>0</v>
      </c>
      <c r="G40" s="198">
        <v>0</v>
      </c>
      <c r="H40" s="184">
        <v>0</v>
      </c>
      <c r="I40" s="198">
        <v>0</v>
      </c>
      <c r="J40" s="184">
        <v>0</v>
      </c>
    </row>
    <row r="41" spans="1:10" ht="15" customHeight="1" x14ac:dyDescent="0.2">
      <c r="A41" s="131">
        <v>35</v>
      </c>
      <c r="B41" s="132" t="s">
        <v>219</v>
      </c>
      <c r="C41" s="184">
        <v>0</v>
      </c>
      <c r="D41" s="184">
        <v>0</v>
      </c>
      <c r="E41" s="184">
        <v>0</v>
      </c>
      <c r="F41" s="184">
        <v>0</v>
      </c>
      <c r="G41" s="198">
        <v>0</v>
      </c>
      <c r="H41" s="184">
        <v>0</v>
      </c>
      <c r="I41" s="198">
        <v>0</v>
      </c>
      <c r="J41" s="184">
        <v>0</v>
      </c>
    </row>
    <row r="42" spans="1:10" ht="15" customHeight="1" x14ac:dyDescent="0.2">
      <c r="A42" s="131">
        <v>36</v>
      </c>
      <c r="B42" s="132" t="s">
        <v>71</v>
      </c>
      <c r="C42" s="184">
        <v>107</v>
      </c>
      <c r="D42" s="184">
        <v>167</v>
      </c>
      <c r="E42" s="184">
        <v>232</v>
      </c>
      <c r="F42" s="184">
        <v>167</v>
      </c>
      <c r="G42" s="184">
        <v>36</v>
      </c>
      <c r="H42" s="184">
        <v>81</v>
      </c>
      <c r="I42" s="184">
        <v>38</v>
      </c>
      <c r="J42" s="184">
        <v>81</v>
      </c>
    </row>
    <row r="43" spans="1:10" ht="15" customHeight="1" x14ac:dyDescent="0.2">
      <c r="A43" s="131">
        <v>37</v>
      </c>
      <c r="B43" s="132" t="s">
        <v>72</v>
      </c>
      <c r="C43" s="184">
        <v>6039</v>
      </c>
      <c r="D43" s="184">
        <v>2909</v>
      </c>
      <c r="E43" s="184">
        <v>6039</v>
      </c>
      <c r="F43" s="184">
        <v>2909</v>
      </c>
      <c r="G43" s="201">
        <v>963</v>
      </c>
      <c r="H43" s="201">
        <v>514</v>
      </c>
      <c r="I43" s="201">
        <v>963</v>
      </c>
      <c r="J43" s="201">
        <v>514</v>
      </c>
    </row>
    <row r="44" spans="1:10" ht="15" customHeight="1" x14ac:dyDescent="0.2">
      <c r="A44" s="131">
        <v>38</v>
      </c>
      <c r="B44" s="132" t="s">
        <v>220</v>
      </c>
      <c r="C44" s="184">
        <v>0</v>
      </c>
      <c r="D44" s="184">
        <v>0</v>
      </c>
      <c r="E44" s="184">
        <v>0</v>
      </c>
      <c r="F44" s="184">
        <v>0</v>
      </c>
      <c r="G44" s="184">
        <v>0</v>
      </c>
      <c r="H44" s="184">
        <v>0</v>
      </c>
      <c r="I44" s="184">
        <v>0</v>
      </c>
      <c r="J44" s="184">
        <v>0</v>
      </c>
    </row>
    <row r="45" spans="1:10" ht="15" customHeight="1" x14ac:dyDescent="0.2">
      <c r="A45" s="131">
        <v>39</v>
      </c>
      <c r="B45" s="132" t="s">
        <v>221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</row>
    <row r="46" spans="1:10" ht="15" customHeight="1" x14ac:dyDescent="0.2">
      <c r="A46" s="131">
        <v>40</v>
      </c>
      <c r="B46" s="132" t="s">
        <v>222</v>
      </c>
      <c r="C46" s="184">
        <v>0</v>
      </c>
      <c r="D46" s="184">
        <v>0</v>
      </c>
      <c r="E46" s="184">
        <v>0</v>
      </c>
      <c r="F46" s="184">
        <v>0</v>
      </c>
      <c r="G46" s="184">
        <v>0</v>
      </c>
      <c r="H46" s="184">
        <v>0</v>
      </c>
      <c r="I46" s="184">
        <v>0</v>
      </c>
      <c r="J46" s="184">
        <v>0</v>
      </c>
    </row>
    <row r="47" spans="1:10" ht="15" customHeight="1" x14ac:dyDescent="0.2">
      <c r="A47" s="131">
        <v>41</v>
      </c>
      <c r="B47" s="132" t="s">
        <v>223</v>
      </c>
      <c r="C47" s="184">
        <v>1</v>
      </c>
      <c r="D47" s="184">
        <v>3.7</v>
      </c>
      <c r="E47" s="184">
        <v>1</v>
      </c>
      <c r="F47" s="184">
        <v>3.7</v>
      </c>
      <c r="G47" s="184">
        <v>1</v>
      </c>
      <c r="H47" s="184">
        <v>3.7</v>
      </c>
      <c r="I47" s="184">
        <v>1</v>
      </c>
      <c r="J47" s="184">
        <v>3.7</v>
      </c>
    </row>
    <row r="48" spans="1:10" ht="15" customHeight="1" x14ac:dyDescent="0.2">
      <c r="A48" s="131">
        <v>42</v>
      </c>
      <c r="B48" s="132" t="s">
        <v>224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</row>
    <row r="49" spans="1:10" ht="15" customHeight="1" x14ac:dyDescent="0.2">
      <c r="A49" s="131">
        <v>43</v>
      </c>
      <c r="B49" s="343" t="s">
        <v>73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</row>
    <row r="50" spans="1:10" ht="15" customHeight="1" x14ac:dyDescent="0.2">
      <c r="A50" s="131">
        <v>44</v>
      </c>
      <c r="B50" s="132" t="s">
        <v>225</v>
      </c>
      <c r="C50" s="184">
        <v>0</v>
      </c>
      <c r="D50" s="184">
        <v>0</v>
      </c>
      <c r="E50" s="184">
        <v>0</v>
      </c>
      <c r="F50" s="184">
        <v>0</v>
      </c>
      <c r="G50" s="184">
        <v>0</v>
      </c>
      <c r="H50" s="184">
        <v>0</v>
      </c>
      <c r="I50" s="184">
        <v>0</v>
      </c>
      <c r="J50" s="184">
        <v>0</v>
      </c>
    </row>
    <row r="51" spans="1:10" ht="15" customHeight="1" x14ac:dyDescent="0.2">
      <c r="A51" s="131">
        <v>45</v>
      </c>
      <c r="B51" s="132" t="s">
        <v>226</v>
      </c>
      <c r="C51" s="184">
        <v>0</v>
      </c>
      <c r="D51" s="184">
        <v>0</v>
      </c>
      <c r="E51" s="184">
        <v>0</v>
      </c>
      <c r="F51" s="184">
        <v>0</v>
      </c>
      <c r="G51" s="184">
        <v>0</v>
      </c>
      <c r="H51" s="184">
        <v>0</v>
      </c>
      <c r="I51" s="184">
        <v>0</v>
      </c>
      <c r="J51" s="184">
        <v>0</v>
      </c>
    </row>
    <row r="52" spans="1:10" ht="15" customHeight="1" x14ac:dyDescent="0.2">
      <c r="A52" s="131">
        <v>46</v>
      </c>
      <c r="B52" s="132" t="s">
        <v>227</v>
      </c>
      <c r="C52" s="184">
        <v>0</v>
      </c>
      <c r="D52" s="184">
        <v>0</v>
      </c>
      <c r="E52" s="184">
        <v>0</v>
      </c>
      <c r="F52" s="184">
        <v>0</v>
      </c>
      <c r="G52" s="184">
        <v>0</v>
      </c>
      <c r="H52" s="184">
        <v>0</v>
      </c>
      <c r="I52" s="184">
        <v>0</v>
      </c>
      <c r="J52" s="184">
        <v>0</v>
      </c>
    </row>
    <row r="53" spans="1:10" ht="15" customHeight="1" x14ac:dyDescent="0.2">
      <c r="A53" s="131">
        <v>47</v>
      </c>
      <c r="B53" s="132" t="s">
        <v>77</v>
      </c>
      <c r="C53" s="184">
        <v>0</v>
      </c>
      <c r="D53" s="184">
        <v>0</v>
      </c>
      <c r="E53" s="184">
        <v>0</v>
      </c>
      <c r="F53" s="184">
        <v>0</v>
      </c>
      <c r="G53" s="198">
        <v>0</v>
      </c>
      <c r="H53" s="184">
        <v>0</v>
      </c>
      <c r="I53" s="198">
        <v>0</v>
      </c>
      <c r="J53" s="184">
        <v>0</v>
      </c>
    </row>
    <row r="54" spans="1:10" ht="15" customHeight="1" x14ac:dyDescent="0.2">
      <c r="A54" s="131">
        <v>48</v>
      </c>
      <c r="B54" s="132" t="s">
        <v>228</v>
      </c>
      <c r="C54" s="184">
        <v>0</v>
      </c>
      <c r="D54" s="184">
        <v>0</v>
      </c>
      <c r="E54" s="184">
        <v>0</v>
      </c>
      <c r="F54" s="184">
        <v>0</v>
      </c>
      <c r="G54" s="198">
        <v>0</v>
      </c>
      <c r="H54" s="184">
        <v>0</v>
      </c>
      <c r="I54" s="198">
        <v>0</v>
      </c>
      <c r="J54" s="184">
        <v>0</v>
      </c>
    </row>
    <row r="55" spans="1:10" ht="15" customHeight="1" x14ac:dyDescent="0.2">
      <c r="A55" s="131">
        <v>49</v>
      </c>
      <c r="B55" s="132" t="s">
        <v>76</v>
      </c>
      <c r="C55" s="184">
        <v>13452</v>
      </c>
      <c r="D55" s="184">
        <v>1206</v>
      </c>
      <c r="E55" s="184">
        <v>7892</v>
      </c>
      <c r="F55" s="184">
        <v>7956</v>
      </c>
      <c r="G55" s="198">
        <v>523</v>
      </c>
      <c r="H55" s="184">
        <v>46.77</v>
      </c>
      <c r="I55" s="198">
        <v>452</v>
      </c>
      <c r="J55" s="184">
        <v>937</v>
      </c>
    </row>
    <row r="56" spans="1:10" s="84" customFormat="1" ht="15" customHeight="1" x14ac:dyDescent="0.2">
      <c r="A56" s="134" t="s">
        <v>348</v>
      </c>
      <c r="B56" s="134" t="s">
        <v>289</v>
      </c>
      <c r="C56" s="187">
        <f>SUM(C34:C55)</f>
        <v>209563</v>
      </c>
      <c r="D56" s="187">
        <f t="shared" ref="D56:J56" si="1">SUM(D34:D55)</f>
        <v>45418.7</v>
      </c>
      <c r="E56" s="187">
        <f t="shared" si="1"/>
        <v>204132</v>
      </c>
      <c r="F56" s="187">
        <f t="shared" si="1"/>
        <v>52169.59</v>
      </c>
      <c r="G56" s="187">
        <f t="shared" si="1"/>
        <v>21161</v>
      </c>
      <c r="H56" s="187">
        <f t="shared" si="1"/>
        <v>4897.47</v>
      </c>
      <c r="I56" s="187">
        <f t="shared" si="1"/>
        <v>21092</v>
      </c>
      <c r="J56" s="187">
        <f t="shared" si="1"/>
        <v>5787.7</v>
      </c>
    </row>
    <row r="57" spans="1:10" ht="15" customHeight="1" x14ac:dyDescent="0.2">
      <c r="A57" s="131">
        <v>50</v>
      </c>
      <c r="B57" s="132" t="s">
        <v>46</v>
      </c>
      <c r="C57" s="184">
        <v>22107</v>
      </c>
      <c r="D57" s="184">
        <v>3524</v>
      </c>
      <c r="E57" s="184">
        <v>13186</v>
      </c>
      <c r="F57" s="184">
        <v>3544</v>
      </c>
      <c r="G57" s="198">
        <v>1417</v>
      </c>
      <c r="H57" s="198">
        <v>158</v>
      </c>
      <c r="I57" s="198">
        <v>956</v>
      </c>
      <c r="J57" s="198">
        <v>270</v>
      </c>
    </row>
    <row r="58" spans="1:10" ht="15" customHeight="1" x14ac:dyDescent="0.2">
      <c r="A58" s="131">
        <v>51</v>
      </c>
      <c r="B58" s="132" t="s">
        <v>229</v>
      </c>
      <c r="C58" s="184">
        <v>28122</v>
      </c>
      <c r="D58" s="184">
        <v>2116</v>
      </c>
      <c r="E58" s="184">
        <v>16877</v>
      </c>
      <c r="F58" s="184">
        <v>5077</v>
      </c>
      <c r="G58" s="184">
        <v>1476</v>
      </c>
      <c r="H58" s="184">
        <v>34</v>
      </c>
      <c r="I58" s="184">
        <v>1210</v>
      </c>
      <c r="J58" s="184">
        <v>1228</v>
      </c>
    </row>
    <row r="59" spans="1:10" ht="15" customHeight="1" x14ac:dyDescent="0.2">
      <c r="A59" s="131">
        <v>52</v>
      </c>
      <c r="B59" s="132" t="s">
        <v>52</v>
      </c>
      <c r="C59" s="290">
        <v>43548</v>
      </c>
      <c r="D59" s="290">
        <v>8698.26</v>
      </c>
      <c r="E59" s="290">
        <v>19537</v>
      </c>
      <c r="F59" s="290">
        <v>17583.3</v>
      </c>
      <c r="G59" s="290">
        <v>733</v>
      </c>
      <c r="H59" s="290">
        <v>86.22</v>
      </c>
      <c r="I59" s="290">
        <v>1787</v>
      </c>
      <c r="J59" s="290">
        <v>1608.3</v>
      </c>
    </row>
    <row r="60" spans="1:10" s="289" customFormat="1" ht="15" customHeight="1" x14ac:dyDescent="0.2">
      <c r="A60" s="291" t="s">
        <v>348</v>
      </c>
      <c r="B60" s="75" t="s">
        <v>295</v>
      </c>
      <c r="C60" s="187">
        <f>SUM(C57:C59)</f>
        <v>93777</v>
      </c>
      <c r="D60" s="187">
        <f t="shared" ref="D60:J60" si="2">SUM(D57:D59)</f>
        <v>14338.26</v>
      </c>
      <c r="E60" s="187">
        <f t="shared" si="2"/>
        <v>49600</v>
      </c>
      <c r="F60" s="187">
        <f t="shared" si="2"/>
        <v>26204.3</v>
      </c>
      <c r="G60" s="187">
        <f t="shared" si="2"/>
        <v>3626</v>
      </c>
      <c r="H60" s="187">
        <f t="shared" si="2"/>
        <v>278.22000000000003</v>
      </c>
      <c r="I60" s="187">
        <f t="shared" si="2"/>
        <v>3953</v>
      </c>
      <c r="J60" s="187">
        <f t="shared" si="2"/>
        <v>3106.3</v>
      </c>
    </row>
    <row r="61" spans="1:10" s="194" customFormat="1" ht="15" customHeight="1" x14ac:dyDescent="0.2">
      <c r="A61" s="63">
        <v>53</v>
      </c>
      <c r="B61" s="64" t="s">
        <v>290</v>
      </c>
      <c r="C61" s="184">
        <v>12144</v>
      </c>
      <c r="D61" s="184">
        <v>1268.6199999999999</v>
      </c>
      <c r="E61" s="184">
        <v>622</v>
      </c>
      <c r="F61" s="184">
        <v>273</v>
      </c>
      <c r="G61" s="198">
        <v>0</v>
      </c>
      <c r="H61" s="184">
        <v>0</v>
      </c>
      <c r="I61" s="198">
        <v>0</v>
      </c>
      <c r="J61" s="184">
        <v>0</v>
      </c>
    </row>
    <row r="62" spans="1:10" s="289" customFormat="1" ht="15" customHeight="1" x14ac:dyDescent="0.2">
      <c r="A62" s="291" t="s">
        <v>348</v>
      </c>
      <c r="B62" s="75" t="s">
        <v>291</v>
      </c>
      <c r="C62" s="187">
        <f>C61</f>
        <v>12144</v>
      </c>
      <c r="D62" s="187">
        <f t="shared" ref="D62:J62" si="3">D61</f>
        <v>1268.6199999999999</v>
      </c>
      <c r="E62" s="187">
        <f t="shared" si="3"/>
        <v>622</v>
      </c>
      <c r="F62" s="187">
        <f t="shared" si="3"/>
        <v>273</v>
      </c>
      <c r="G62" s="187">
        <f t="shared" si="3"/>
        <v>0</v>
      </c>
      <c r="H62" s="187">
        <f t="shared" si="3"/>
        <v>0</v>
      </c>
      <c r="I62" s="187">
        <f t="shared" si="3"/>
        <v>0</v>
      </c>
      <c r="J62" s="187">
        <f t="shared" si="3"/>
        <v>0</v>
      </c>
    </row>
    <row r="63" spans="1:10" s="289" customFormat="1" ht="15" customHeight="1" x14ac:dyDescent="0.2">
      <c r="A63" s="291" t="s">
        <v>348</v>
      </c>
      <c r="B63" s="75" t="s">
        <v>292</v>
      </c>
      <c r="C63" s="187">
        <f>C62+C60+C56+C33</f>
        <v>405691</v>
      </c>
      <c r="D63" s="187">
        <f t="shared" ref="D63:J63" si="4">D62+D60+D56+D33</f>
        <v>87487.950000000012</v>
      </c>
      <c r="E63" s="187">
        <f t="shared" si="4"/>
        <v>307168</v>
      </c>
      <c r="F63" s="187">
        <f t="shared" si="4"/>
        <v>113314.56</v>
      </c>
      <c r="G63" s="187">
        <f t="shared" si="4"/>
        <v>30638</v>
      </c>
      <c r="H63" s="187">
        <f t="shared" si="4"/>
        <v>6666.630000000001</v>
      </c>
      <c r="I63" s="187">
        <f t="shared" si="4"/>
        <v>28170</v>
      </c>
      <c r="J63" s="187">
        <f t="shared" si="4"/>
        <v>11268.59</v>
      </c>
    </row>
    <row r="64" spans="1:10" x14ac:dyDescent="0.2">
      <c r="B64" s="418" t="s">
        <v>1231</v>
      </c>
    </row>
    <row r="66" spans="3:3" x14ac:dyDescent="0.2">
      <c r="C66" s="36">
        <f>C35*100/C63</f>
        <v>46.824800155783592</v>
      </c>
    </row>
  </sheetData>
  <mergeCells count="10">
    <mergeCell ref="A1:J1"/>
    <mergeCell ref="I2:J2"/>
    <mergeCell ref="A3:A4"/>
    <mergeCell ref="B3:B4"/>
    <mergeCell ref="C4:D4"/>
    <mergeCell ref="E4:F4"/>
    <mergeCell ref="C3:F3"/>
    <mergeCell ref="G3:J3"/>
    <mergeCell ref="G4:H4"/>
    <mergeCell ref="I4:J4"/>
  </mergeCells>
  <conditionalFormatting sqref="C2">
    <cfRule type="cellIs" dxfId="43" priority="8" operator="lessThan">
      <formula>0</formula>
    </cfRule>
  </conditionalFormatting>
  <conditionalFormatting sqref="I2">
    <cfRule type="cellIs" dxfId="42" priority="7" operator="lessThan">
      <formula>0</formula>
    </cfRule>
  </conditionalFormatting>
  <conditionalFormatting sqref="B6">
    <cfRule type="duplicateValues" dxfId="41" priority="1"/>
  </conditionalFormatting>
  <conditionalFormatting sqref="B22">
    <cfRule type="duplicateValues" dxfId="40" priority="2"/>
  </conditionalFormatting>
  <conditionalFormatting sqref="B33:B34 B26:B30">
    <cfRule type="duplicateValues" dxfId="39" priority="3"/>
  </conditionalFormatting>
  <conditionalFormatting sqref="B52">
    <cfRule type="duplicateValues" dxfId="38" priority="4"/>
  </conditionalFormatting>
  <conditionalFormatting sqref="B56">
    <cfRule type="duplicateValues" dxfId="37" priority="5"/>
  </conditionalFormatting>
  <conditionalFormatting sqref="B58">
    <cfRule type="duplicateValues" dxfId="36" priority="6"/>
  </conditionalFormatting>
  <pageMargins left="1.2" right="0.7" top="0.5" bottom="0.5" header="0.3" footer="0.3"/>
  <pageSetup paperSize="9" scale="7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5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9" sqref="E29"/>
    </sheetView>
  </sheetViews>
  <sheetFormatPr defaultRowHeight="15" x14ac:dyDescent="0.2"/>
  <cols>
    <col min="1" max="1" width="5.5703125" style="22" customWidth="1"/>
    <col min="2" max="2" width="25.42578125" style="11" customWidth="1"/>
    <col min="3" max="3" width="10.5703125" style="11" customWidth="1"/>
    <col min="4" max="4" width="9.140625" style="23"/>
    <col min="5" max="5" width="10.140625" style="11" customWidth="1"/>
    <col min="6" max="6" width="9.140625" style="23"/>
    <col min="7" max="7" width="9.85546875" style="11" bestFit="1" customWidth="1"/>
    <col min="8" max="8" width="9.140625" style="23"/>
    <col min="9" max="9" width="9.85546875" style="11" bestFit="1" customWidth="1"/>
    <col min="10" max="10" width="13" style="23" customWidth="1"/>
    <col min="11" max="16384" width="9.140625" style="11"/>
  </cols>
  <sheetData>
    <row r="1" spans="1:10" x14ac:dyDescent="0.2">
      <c r="A1" s="500" t="s">
        <v>101</v>
      </c>
      <c r="B1" s="500"/>
      <c r="C1" s="500"/>
      <c r="D1" s="500"/>
      <c r="E1" s="500"/>
      <c r="F1" s="500"/>
      <c r="G1" s="500"/>
      <c r="H1" s="500"/>
      <c r="I1" s="500"/>
      <c r="J1" s="500"/>
    </row>
    <row r="2" spans="1:10" x14ac:dyDescent="0.2">
      <c r="A2" s="12"/>
      <c r="B2" s="13" t="s">
        <v>111</v>
      </c>
      <c r="C2" s="500" t="s">
        <v>102</v>
      </c>
      <c r="D2" s="500"/>
      <c r="E2" s="500"/>
      <c r="F2" s="500"/>
      <c r="G2" s="500" t="s">
        <v>119</v>
      </c>
      <c r="H2" s="500"/>
      <c r="I2" s="500"/>
      <c r="J2" s="14" t="s">
        <v>103</v>
      </c>
    </row>
    <row r="3" spans="1:10" ht="34.5" customHeight="1" x14ac:dyDescent="0.2">
      <c r="A3" s="15" t="s">
        <v>104</v>
      </c>
      <c r="B3" s="16" t="s">
        <v>105</v>
      </c>
      <c r="C3" s="566" t="s">
        <v>106</v>
      </c>
      <c r="D3" s="566"/>
      <c r="E3" s="566" t="s">
        <v>107</v>
      </c>
      <c r="F3" s="566"/>
      <c r="G3" s="566" t="s">
        <v>106</v>
      </c>
      <c r="H3" s="566"/>
      <c r="I3" s="566" t="s">
        <v>107</v>
      </c>
      <c r="J3" s="566"/>
    </row>
    <row r="4" spans="1:10" ht="21.75" customHeight="1" x14ac:dyDescent="0.2">
      <c r="A4" s="17"/>
      <c r="B4" s="10"/>
      <c r="C4" s="17" t="s">
        <v>108</v>
      </c>
      <c r="D4" s="18" t="s">
        <v>17</v>
      </c>
      <c r="E4" s="17" t="s">
        <v>108</v>
      </c>
      <c r="F4" s="18" t="s">
        <v>17</v>
      </c>
      <c r="G4" s="17" t="s">
        <v>108</v>
      </c>
      <c r="H4" s="18" t="s">
        <v>17</v>
      </c>
      <c r="I4" s="17" t="s">
        <v>108</v>
      </c>
      <c r="J4" s="18" t="s">
        <v>17</v>
      </c>
    </row>
    <row r="5" spans="1:10" x14ac:dyDescent="0.2">
      <c r="A5" s="19">
        <v>1</v>
      </c>
      <c r="B5" s="20" t="s">
        <v>55</v>
      </c>
      <c r="C5" s="20">
        <v>5727</v>
      </c>
      <c r="D5" s="21">
        <v>94.81</v>
      </c>
      <c r="E5" s="20">
        <v>2617</v>
      </c>
      <c r="F5" s="21">
        <v>19.899999999999999</v>
      </c>
      <c r="G5" s="20">
        <v>10088</v>
      </c>
      <c r="H5" s="21">
        <v>116.24</v>
      </c>
      <c r="I5" s="20">
        <v>4563</v>
      </c>
      <c r="J5" s="21">
        <v>27.68</v>
      </c>
    </row>
    <row r="6" spans="1:10" x14ac:dyDescent="0.2">
      <c r="A6" s="19">
        <v>2</v>
      </c>
      <c r="B6" s="20" t="s">
        <v>56</v>
      </c>
      <c r="C6" s="20">
        <v>0</v>
      </c>
      <c r="D6" s="21">
        <v>0</v>
      </c>
      <c r="E6" s="20">
        <v>0</v>
      </c>
      <c r="F6" s="21">
        <v>0</v>
      </c>
      <c r="G6" s="20">
        <v>0</v>
      </c>
      <c r="H6" s="21">
        <v>0</v>
      </c>
      <c r="I6" s="20">
        <v>0</v>
      </c>
      <c r="J6" s="21">
        <v>0</v>
      </c>
    </row>
    <row r="7" spans="1:10" x14ac:dyDescent="0.2">
      <c r="A7" s="19">
        <v>3</v>
      </c>
      <c r="B7" s="20" t="s">
        <v>57</v>
      </c>
      <c r="C7" s="20">
        <v>2758</v>
      </c>
      <c r="D7" s="21">
        <v>30.78</v>
      </c>
      <c r="E7" s="20">
        <v>0</v>
      </c>
      <c r="F7" s="21">
        <v>0</v>
      </c>
      <c r="G7" s="20">
        <v>0</v>
      </c>
      <c r="H7" s="21">
        <v>0</v>
      </c>
      <c r="I7" s="20">
        <v>0</v>
      </c>
      <c r="J7" s="21">
        <v>0</v>
      </c>
    </row>
    <row r="8" spans="1:10" x14ac:dyDescent="0.2">
      <c r="A8" s="19">
        <v>4</v>
      </c>
      <c r="B8" s="20" t="s">
        <v>58</v>
      </c>
      <c r="C8" s="20">
        <v>2931</v>
      </c>
      <c r="D8" s="21">
        <v>58.68</v>
      </c>
      <c r="E8" s="20">
        <v>2931</v>
      </c>
      <c r="F8" s="21">
        <v>41.07</v>
      </c>
      <c r="G8" s="20">
        <v>2602</v>
      </c>
      <c r="H8" s="21">
        <v>42.44</v>
      </c>
      <c r="I8" s="20">
        <v>2602</v>
      </c>
      <c r="J8" s="21">
        <v>29.7</v>
      </c>
    </row>
    <row r="9" spans="1:10" x14ac:dyDescent="0.2">
      <c r="A9" s="19">
        <v>5</v>
      </c>
      <c r="B9" s="1" t="s">
        <v>59</v>
      </c>
      <c r="C9" s="20">
        <v>68</v>
      </c>
      <c r="D9" s="21">
        <v>1.1299999999999999</v>
      </c>
      <c r="E9" s="20">
        <v>0</v>
      </c>
      <c r="F9" s="21">
        <v>0</v>
      </c>
      <c r="G9" s="20">
        <v>0</v>
      </c>
      <c r="H9" s="21">
        <v>0</v>
      </c>
      <c r="I9" s="20">
        <v>0</v>
      </c>
      <c r="J9" s="21">
        <v>0</v>
      </c>
    </row>
    <row r="10" spans="1:10" x14ac:dyDescent="0.2">
      <c r="A10" s="19">
        <v>6</v>
      </c>
      <c r="B10" s="1" t="s">
        <v>60</v>
      </c>
      <c r="C10" s="20">
        <v>1509</v>
      </c>
      <c r="D10" s="21">
        <v>71.540000000000006</v>
      </c>
      <c r="E10" s="20">
        <v>767</v>
      </c>
      <c r="F10" s="21">
        <v>38.68</v>
      </c>
      <c r="G10" s="20">
        <v>6185</v>
      </c>
      <c r="H10" s="21">
        <v>228.82</v>
      </c>
      <c r="I10" s="20">
        <v>3278</v>
      </c>
      <c r="J10" s="21">
        <v>116.98</v>
      </c>
    </row>
    <row r="11" spans="1:10" x14ac:dyDescent="0.2">
      <c r="A11" s="19">
        <v>7</v>
      </c>
      <c r="B11" s="1" t="s">
        <v>48</v>
      </c>
      <c r="C11" s="20">
        <v>25</v>
      </c>
      <c r="D11" s="21">
        <v>0.13</v>
      </c>
      <c r="E11" s="20">
        <v>0</v>
      </c>
      <c r="F11" s="21">
        <v>0</v>
      </c>
      <c r="G11" s="20">
        <v>0</v>
      </c>
      <c r="H11" s="21">
        <v>0</v>
      </c>
      <c r="I11" s="20">
        <v>0</v>
      </c>
      <c r="J11" s="21">
        <v>0</v>
      </c>
    </row>
    <row r="12" spans="1:10" x14ac:dyDescent="0.2">
      <c r="A12" s="19">
        <v>8</v>
      </c>
      <c r="B12" s="1" t="s">
        <v>61</v>
      </c>
      <c r="C12" s="20">
        <v>5501</v>
      </c>
      <c r="D12" s="21">
        <v>128.26</v>
      </c>
      <c r="E12" s="20">
        <v>2872</v>
      </c>
      <c r="F12" s="21">
        <v>43.65</v>
      </c>
      <c r="G12" s="20">
        <v>2974</v>
      </c>
      <c r="H12" s="21">
        <v>37.9</v>
      </c>
      <c r="I12" s="20">
        <v>618</v>
      </c>
      <c r="J12" s="21">
        <v>10.25</v>
      </c>
    </row>
    <row r="13" spans="1:10" x14ac:dyDescent="0.2">
      <c r="A13" s="19">
        <v>9</v>
      </c>
      <c r="B13" s="1" t="s">
        <v>49</v>
      </c>
      <c r="C13" s="20">
        <v>10</v>
      </c>
      <c r="D13" s="21">
        <v>0.18</v>
      </c>
      <c r="E13" s="20">
        <v>0</v>
      </c>
      <c r="F13" s="21">
        <v>0</v>
      </c>
      <c r="G13" s="20">
        <v>0</v>
      </c>
      <c r="H13" s="21">
        <v>0</v>
      </c>
      <c r="I13" s="20">
        <v>0</v>
      </c>
      <c r="J13" s="21">
        <v>0</v>
      </c>
    </row>
    <row r="14" spans="1:10" x14ac:dyDescent="0.2">
      <c r="A14" s="19">
        <v>10</v>
      </c>
      <c r="B14" s="1" t="s">
        <v>81</v>
      </c>
      <c r="C14" s="20">
        <v>0</v>
      </c>
      <c r="D14" s="21">
        <v>0</v>
      </c>
      <c r="E14" s="20">
        <v>0</v>
      </c>
      <c r="F14" s="21">
        <v>0</v>
      </c>
      <c r="G14" s="20">
        <v>7</v>
      </c>
      <c r="H14" s="21">
        <v>0.11</v>
      </c>
      <c r="I14" s="20">
        <v>0</v>
      </c>
      <c r="J14" s="21">
        <v>0</v>
      </c>
    </row>
    <row r="15" spans="1:10" x14ac:dyDescent="0.2">
      <c r="A15" s="19">
        <v>11</v>
      </c>
      <c r="B15" s="1" t="s">
        <v>62</v>
      </c>
      <c r="C15" s="20">
        <v>0</v>
      </c>
      <c r="D15" s="21">
        <v>0</v>
      </c>
      <c r="E15" s="20">
        <v>0</v>
      </c>
      <c r="F15" s="21">
        <v>0</v>
      </c>
      <c r="G15" s="20">
        <v>0</v>
      </c>
      <c r="H15" s="21">
        <v>0</v>
      </c>
      <c r="I15" s="20">
        <v>0</v>
      </c>
      <c r="J15" s="21">
        <v>0</v>
      </c>
    </row>
    <row r="16" spans="1:10" x14ac:dyDescent="0.2">
      <c r="A16" s="19">
        <v>12</v>
      </c>
      <c r="B16" s="1" t="s">
        <v>63</v>
      </c>
      <c r="C16" s="20">
        <v>0</v>
      </c>
      <c r="D16" s="21">
        <v>0</v>
      </c>
      <c r="E16" s="20">
        <v>0</v>
      </c>
      <c r="F16" s="21">
        <v>0</v>
      </c>
      <c r="G16" s="20">
        <v>0</v>
      </c>
      <c r="H16" s="21">
        <v>0</v>
      </c>
      <c r="I16" s="20">
        <v>0</v>
      </c>
      <c r="J16" s="21">
        <v>0</v>
      </c>
    </row>
    <row r="17" spans="1:10" x14ac:dyDescent="0.2">
      <c r="A17" s="19">
        <v>13</v>
      </c>
      <c r="B17" s="1" t="s">
        <v>82</v>
      </c>
      <c r="C17" s="20">
        <v>11</v>
      </c>
      <c r="D17" s="21">
        <v>0.18</v>
      </c>
      <c r="E17" s="20">
        <v>0</v>
      </c>
      <c r="F17" s="21">
        <v>0</v>
      </c>
      <c r="G17" s="20">
        <v>0</v>
      </c>
      <c r="H17" s="21">
        <v>0</v>
      </c>
      <c r="I17" s="20">
        <v>0</v>
      </c>
      <c r="J17" s="21">
        <v>0</v>
      </c>
    </row>
    <row r="18" spans="1:10" x14ac:dyDescent="0.2">
      <c r="A18" s="19">
        <v>14</v>
      </c>
      <c r="B18" s="1" t="s">
        <v>83</v>
      </c>
      <c r="C18" s="20">
        <v>0</v>
      </c>
      <c r="D18" s="21">
        <v>0</v>
      </c>
      <c r="E18" s="20">
        <v>0</v>
      </c>
      <c r="F18" s="21">
        <v>0</v>
      </c>
      <c r="G18" s="20">
        <v>83</v>
      </c>
      <c r="H18" s="21">
        <v>6.91</v>
      </c>
      <c r="I18" s="20">
        <v>3</v>
      </c>
      <c r="J18" s="21">
        <v>0.55000000000000004</v>
      </c>
    </row>
    <row r="19" spans="1:10" x14ac:dyDescent="0.2">
      <c r="A19" s="19">
        <v>15</v>
      </c>
      <c r="B19" s="1" t="s">
        <v>64</v>
      </c>
      <c r="C19" s="20">
        <v>24061</v>
      </c>
      <c r="D19" s="21">
        <v>362.75</v>
      </c>
      <c r="E19" s="20">
        <v>7218</v>
      </c>
      <c r="F19" s="21">
        <v>108.82</v>
      </c>
      <c r="G19" s="20">
        <v>2712</v>
      </c>
      <c r="H19" s="21">
        <v>40.61</v>
      </c>
      <c r="I19" s="20">
        <v>542</v>
      </c>
      <c r="J19" s="21">
        <v>80.12</v>
      </c>
    </row>
    <row r="20" spans="1:10" x14ac:dyDescent="0.2">
      <c r="A20" s="19">
        <v>16</v>
      </c>
      <c r="B20" s="1" t="s">
        <v>65</v>
      </c>
      <c r="C20" s="20">
        <v>0</v>
      </c>
      <c r="D20" s="21">
        <v>0</v>
      </c>
      <c r="E20" s="20">
        <v>0</v>
      </c>
      <c r="F20" s="21">
        <v>0</v>
      </c>
      <c r="G20" s="20">
        <v>0</v>
      </c>
      <c r="H20" s="21">
        <v>0</v>
      </c>
      <c r="I20" s="20">
        <v>0</v>
      </c>
      <c r="J20" s="21">
        <v>0</v>
      </c>
    </row>
    <row r="21" spans="1:10" x14ac:dyDescent="0.2">
      <c r="A21" s="19">
        <v>17</v>
      </c>
      <c r="B21" s="1" t="s">
        <v>80</v>
      </c>
      <c r="C21" s="20">
        <v>299</v>
      </c>
      <c r="D21" s="21">
        <v>6.69</v>
      </c>
      <c r="E21" s="20">
        <v>120</v>
      </c>
      <c r="F21" s="21">
        <v>2.21</v>
      </c>
      <c r="G21" s="20">
        <v>619</v>
      </c>
      <c r="H21" s="21">
        <v>6.75</v>
      </c>
      <c r="I21" s="20">
        <v>264</v>
      </c>
      <c r="J21" s="21">
        <v>2.4500000000000002</v>
      </c>
    </row>
    <row r="22" spans="1:10" x14ac:dyDescent="0.2">
      <c r="A22" s="19">
        <v>18</v>
      </c>
      <c r="B22" s="1" t="s">
        <v>66</v>
      </c>
      <c r="C22" s="20">
        <v>153</v>
      </c>
      <c r="D22" s="21">
        <v>3.52</v>
      </c>
      <c r="E22" s="20">
        <v>0</v>
      </c>
      <c r="F22" s="21">
        <v>0</v>
      </c>
      <c r="G22" s="20">
        <v>0</v>
      </c>
      <c r="H22" s="21">
        <v>0</v>
      </c>
      <c r="I22" s="20">
        <v>0</v>
      </c>
      <c r="J22" s="21">
        <v>0</v>
      </c>
    </row>
    <row r="23" spans="1:10" x14ac:dyDescent="0.2">
      <c r="A23" s="19">
        <v>19</v>
      </c>
      <c r="B23" s="1" t="s">
        <v>67</v>
      </c>
      <c r="C23" s="20">
        <v>0</v>
      </c>
      <c r="D23" s="21">
        <v>0</v>
      </c>
      <c r="E23" s="20">
        <v>0</v>
      </c>
      <c r="F23" s="21">
        <v>0</v>
      </c>
      <c r="G23" s="20">
        <v>0</v>
      </c>
      <c r="H23" s="21">
        <v>0</v>
      </c>
      <c r="I23" s="20">
        <v>0</v>
      </c>
      <c r="J23" s="21">
        <v>0</v>
      </c>
    </row>
    <row r="24" spans="1:10" x14ac:dyDescent="0.2">
      <c r="A24" s="19">
        <v>20</v>
      </c>
      <c r="B24" s="20" t="s">
        <v>50</v>
      </c>
      <c r="C24" s="20">
        <v>0</v>
      </c>
      <c r="D24" s="21">
        <v>0</v>
      </c>
      <c r="E24" s="20">
        <v>0</v>
      </c>
      <c r="F24" s="21">
        <v>0</v>
      </c>
      <c r="G24" s="20">
        <v>0</v>
      </c>
      <c r="H24" s="21">
        <v>0</v>
      </c>
      <c r="I24" s="20">
        <v>0</v>
      </c>
      <c r="J24" s="21">
        <v>0</v>
      </c>
    </row>
    <row r="25" spans="1:10" x14ac:dyDescent="0.2">
      <c r="A25" s="19">
        <v>21</v>
      </c>
      <c r="B25" s="20" t="s">
        <v>109</v>
      </c>
      <c r="C25" s="20">
        <v>0</v>
      </c>
      <c r="D25" s="21">
        <v>0</v>
      </c>
      <c r="E25" s="20">
        <v>0</v>
      </c>
      <c r="F25" s="21">
        <v>0</v>
      </c>
      <c r="G25" s="20">
        <v>0</v>
      </c>
      <c r="H25" s="21">
        <v>0</v>
      </c>
      <c r="I25" s="20">
        <v>0</v>
      </c>
      <c r="J25" s="21">
        <v>0</v>
      </c>
    </row>
    <row r="26" spans="1:10" x14ac:dyDescent="0.2">
      <c r="A26" s="19">
        <v>22</v>
      </c>
      <c r="B26" s="20" t="s">
        <v>68</v>
      </c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</row>
    <row r="27" spans="1:10" x14ac:dyDescent="0.2">
      <c r="A27" s="19">
        <v>23</v>
      </c>
      <c r="B27" s="20" t="s">
        <v>69</v>
      </c>
      <c r="C27" s="20">
        <v>0</v>
      </c>
      <c r="D27" s="21">
        <v>0</v>
      </c>
      <c r="E27" s="20">
        <v>0</v>
      </c>
      <c r="F27" s="21">
        <v>0</v>
      </c>
      <c r="G27" s="20">
        <v>0</v>
      </c>
      <c r="H27" s="21">
        <v>0</v>
      </c>
      <c r="I27" s="20">
        <v>0</v>
      </c>
      <c r="J27" s="21">
        <v>0</v>
      </c>
    </row>
    <row r="28" spans="1:10" x14ac:dyDescent="0.2">
      <c r="A28" s="19">
        <v>24</v>
      </c>
      <c r="B28" s="20" t="s">
        <v>84</v>
      </c>
      <c r="C28" s="20">
        <v>0</v>
      </c>
      <c r="D28" s="21">
        <v>0</v>
      </c>
      <c r="E28" s="20">
        <v>0</v>
      </c>
      <c r="F28" s="21">
        <v>0</v>
      </c>
      <c r="G28" s="20">
        <v>0</v>
      </c>
      <c r="H28" s="21">
        <v>0</v>
      </c>
      <c r="I28" s="20">
        <v>0</v>
      </c>
      <c r="J28" s="21">
        <v>0</v>
      </c>
    </row>
    <row r="29" spans="1:10" x14ac:dyDescent="0.2">
      <c r="A29" s="19">
        <v>25</v>
      </c>
      <c r="B29" s="20" t="s">
        <v>85</v>
      </c>
      <c r="C29" s="20">
        <v>0</v>
      </c>
      <c r="D29" s="21">
        <v>0</v>
      </c>
      <c r="E29" s="20">
        <v>0</v>
      </c>
      <c r="F29" s="21">
        <v>0</v>
      </c>
      <c r="G29" s="20">
        <v>0</v>
      </c>
      <c r="H29" s="21">
        <v>0</v>
      </c>
      <c r="I29" s="20">
        <v>0</v>
      </c>
      <c r="J29" s="21">
        <v>0</v>
      </c>
    </row>
    <row r="30" spans="1:10" x14ac:dyDescent="0.2">
      <c r="A30" s="19">
        <v>26</v>
      </c>
      <c r="B30" s="20" t="s">
        <v>86</v>
      </c>
      <c r="C30" s="20">
        <v>0</v>
      </c>
      <c r="D30" s="21">
        <v>0</v>
      </c>
      <c r="E30" s="20">
        <v>0</v>
      </c>
      <c r="F30" s="21">
        <v>0</v>
      </c>
      <c r="G30" s="20">
        <v>0</v>
      </c>
      <c r="H30" s="21">
        <v>0</v>
      </c>
      <c r="I30" s="20">
        <v>0</v>
      </c>
      <c r="J30" s="21">
        <v>0</v>
      </c>
    </row>
    <row r="31" spans="1:10" x14ac:dyDescent="0.2">
      <c r="A31" s="19">
        <v>27</v>
      </c>
      <c r="B31" s="20" t="s">
        <v>87</v>
      </c>
      <c r="C31" s="20">
        <v>0</v>
      </c>
      <c r="D31" s="21">
        <v>0</v>
      </c>
      <c r="E31" s="20">
        <v>0</v>
      </c>
      <c r="F31" s="21">
        <v>0</v>
      </c>
      <c r="G31" s="20">
        <v>0</v>
      </c>
      <c r="H31" s="21">
        <v>0</v>
      </c>
      <c r="I31" s="20">
        <v>0</v>
      </c>
      <c r="J31" s="21">
        <v>0</v>
      </c>
    </row>
    <row r="32" spans="1:10" x14ac:dyDescent="0.2">
      <c r="A32" s="19">
        <v>28</v>
      </c>
      <c r="B32" s="20" t="s">
        <v>70</v>
      </c>
      <c r="C32" s="20">
        <v>0</v>
      </c>
      <c r="D32" s="21">
        <v>0</v>
      </c>
      <c r="E32" s="20">
        <v>0</v>
      </c>
      <c r="F32" s="21">
        <v>0</v>
      </c>
      <c r="G32" s="20">
        <v>411</v>
      </c>
      <c r="H32" s="21">
        <v>4.88</v>
      </c>
      <c r="I32" s="20">
        <v>0</v>
      </c>
      <c r="J32" s="21">
        <v>0</v>
      </c>
    </row>
    <row r="33" spans="1:10" x14ac:dyDescent="0.2">
      <c r="A33" s="19">
        <v>29</v>
      </c>
      <c r="B33" s="20" t="s">
        <v>47</v>
      </c>
      <c r="C33" s="20">
        <v>0</v>
      </c>
      <c r="D33" s="21">
        <v>0</v>
      </c>
      <c r="E33" s="20">
        <v>0</v>
      </c>
      <c r="F33" s="21">
        <v>0</v>
      </c>
      <c r="G33" s="20">
        <v>0</v>
      </c>
      <c r="H33" s="21">
        <v>0</v>
      </c>
      <c r="I33" s="20">
        <v>0</v>
      </c>
      <c r="J33" s="21">
        <v>0</v>
      </c>
    </row>
    <row r="34" spans="1:10" x14ac:dyDescent="0.2">
      <c r="A34" s="19">
        <v>30</v>
      </c>
      <c r="B34" s="20" t="s">
        <v>71</v>
      </c>
      <c r="C34" s="20">
        <v>9763</v>
      </c>
      <c r="D34" s="21">
        <v>30.76</v>
      </c>
      <c r="E34" s="20">
        <v>3425</v>
      </c>
      <c r="F34" s="21">
        <v>111.15</v>
      </c>
      <c r="G34" s="20">
        <v>1030</v>
      </c>
      <c r="H34" s="21">
        <v>3.49</v>
      </c>
      <c r="I34" s="20">
        <v>696</v>
      </c>
      <c r="J34" s="21">
        <v>34.729999999999997</v>
      </c>
    </row>
    <row r="35" spans="1:10" x14ac:dyDescent="0.2">
      <c r="A35" s="19">
        <v>31</v>
      </c>
      <c r="B35" s="20" t="s">
        <v>72</v>
      </c>
      <c r="C35" s="20">
        <v>0</v>
      </c>
      <c r="D35" s="21">
        <v>0</v>
      </c>
      <c r="E35" s="20">
        <v>0</v>
      </c>
      <c r="F35" s="21">
        <v>0</v>
      </c>
      <c r="G35" s="20">
        <v>0</v>
      </c>
      <c r="H35" s="21">
        <v>0</v>
      </c>
      <c r="I35" s="20">
        <v>0</v>
      </c>
      <c r="J35" s="21">
        <v>0</v>
      </c>
    </row>
    <row r="36" spans="1:10" x14ac:dyDescent="0.2">
      <c r="A36" s="19">
        <v>32</v>
      </c>
      <c r="B36" s="20" t="s">
        <v>88</v>
      </c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</row>
    <row r="37" spans="1:10" x14ac:dyDescent="0.2">
      <c r="A37" s="19">
        <v>33</v>
      </c>
      <c r="B37" s="20" t="s">
        <v>51</v>
      </c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</row>
    <row r="38" spans="1:10" x14ac:dyDescent="0.2">
      <c r="A38" s="19">
        <v>34</v>
      </c>
      <c r="B38" s="20" t="s">
        <v>89</v>
      </c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</row>
    <row r="39" spans="1:10" x14ac:dyDescent="0.2">
      <c r="A39" s="19">
        <v>35</v>
      </c>
      <c r="B39" s="20" t="s">
        <v>90</v>
      </c>
      <c r="C39" s="20">
        <v>0</v>
      </c>
      <c r="D39" s="21">
        <v>0</v>
      </c>
      <c r="E39" s="20">
        <v>0</v>
      </c>
      <c r="F39" s="21">
        <v>0</v>
      </c>
      <c r="G39" s="20">
        <v>0</v>
      </c>
      <c r="H39" s="21">
        <v>0</v>
      </c>
      <c r="I39" s="20">
        <v>0</v>
      </c>
      <c r="J39" s="21">
        <v>0</v>
      </c>
    </row>
    <row r="40" spans="1:10" x14ac:dyDescent="0.2">
      <c r="A40" s="19">
        <v>36</v>
      </c>
      <c r="B40" s="20" t="s">
        <v>73</v>
      </c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</row>
    <row r="41" spans="1:10" x14ac:dyDescent="0.2">
      <c r="A41" s="19">
        <v>37</v>
      </c>
      <c r="B41" s="20" t="s">
        <v>91</v>
      </c>
      <c r="C41" s="20">
        <v>0</v>
      </c>
      <c r="D41" s="21">
        <v>0</v>
      </c>
      <c r="E41" s="20">
        <v>0</v>
      </c>
      <c r="F41" s="21">
        <v>0</v>
      </c>
      <c r="G41" s="20">
        <v>0</v>
      </c>
      <c r="H41" s="21">
        <v>0</v>
      </c>
      <c r="I41" s="20">
        <v>0</v>
      </c>
      <c r="J41" s="21">
        <v>0</v>
      </c>
    </row>
    <row r="42" spans="1:10" x14ac:dyDescent="0.2">
      <c r="A42" s="19">
        <v>38</v>
      </c>
      <c r="B42" s="20" t="s">
        <v>74</v>
      </c>
      <c r="C42" s="20">
        <v>0</v>
      </c>
      <c r="D42" s="21">
        <v>0</v>
      </c>
      <c r="E42" s="20">
        <v>0</v>
      </c>
      <c r="F42" s="21">
        <v>0</v>
      </c>
      <c r="G42" s="20">
        <v>0</v>
      </c>
      <c r="H42" s="21">
        <v>0</v>
      </c>
      <c r="I42" s="20">
        <v>0</v>
      </c>
      <c r="J42" s="21">
        <v>0</v>
      </c>
    </row>
    <row r="43" spans="1:10" x14ac:dyDescent="0.2">
      <c r="A43" s="19">
        <v>39</v>
      </c>
      <c r="B43" s="20" t="s">
        <v>92</v>
      </c>
      <c r="C43" s="20">
        <v>0</v>
      </c>
      <c r="D43" s="21">
        <v>0</v>
      </c>
      <c r="E43" s="20">
        <v>0</v>
      </c>
      <c r="F43" s="21">
        <v>0</v>
      </c>
      <c r="G43" s="20">
        <v>0</v>
      </c>
      <c r="H43" s="21">
        <v>0</v>
      </c>
      <c r="I43" s="20">
        <v>0</v>
      </c>
      <c r="J43" s="21">
        <v>0</v>
      </c>
    </row>
    <row r="44" spans="1:10" x14ac:dyDescent="0.2">
      <c r="A44" s="19">
        <v>40</v>
      </c>
      <c r="B44" s="20" t="s">
        <v>93</v>
      </c>
      <c r="C44" s="20">
        <v>0</v>
      </c>
      <c r="D44" s="21">
        <v>0</v>
      </c>
      <c r="E44" s="20">
        <v>0</v>
      </c>
      <c r="F44" s="21">
        <v>0</v>
      </c>
      <c r="G44" s="20">
        <v>0</v>
      </c>
      <c r="H44" s="21">
        <v>0</v>
      </c>
      <c r="I44" s="20">
        <v>0</v>
      </c>
      <c r="J44" s="21">
        <v>0</v>
      </c>
    </row>
    <row r="45" spans="1:10" x14ac:dyDescent="0.2">
      <c r="A45" s="19">
        <v>41</v>
      </c>
      <c r="B45" s="20" t="s">
        <v>75</v>
      </c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</row>
    <row r="46" spans="1:10" x14ac:dyDescent="0.2">
      <c r="A46" s="19">
        <v>42</v>
      </c>
      <c r="B46" s="20" t="s">
        <v>76</v>
      </c>
      <c r="C46" s="20">
        <v>0</v>
      </c>
      <c r="D46" s="21">
        <v>0</v>
      </c>
      <c r="E46" s="20">
        <v>0</v>
      </c>
      <c r="F46" s="21">
        <v>0</v>
      </c>
      <c r="G46" s="20">
        <v>0</v>
      </c>
      <c r="H46" s="21">
        <v>0</v>
      </c>
      <c r="I46" s="20">
        <v>0</v>
      </c>
      <c r="J46" s="21">
        <v>0</v>
      </c>
    </row>
    <row r="47" spans="1:10" x14ac:dyDescent="0.2">
      <c r="A47" s="19">
        <v>43</v>
      </c>
      <c r="B47" s="20" t="s">
        <v>94</v>
      </c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</row>
    <row r="48" spans="1:10" x14ac:dyDescent="0.2">
      <c r="A48" s="19">
        <v>44</v>
      </c>
      <c r="B48" s="20" t="s">
        <v>77</v>
      </c>
      <c r="C48" s="20">
        <v>0</v>
      </c>
      <c r="D48" s="21">
        <v>0</v>
      </c>
      <c r="E48" s="20">
        <v>0</v>
      </c>
      <c r="F48" s="21">
        <v>0</v>
      </c>
      <c r="G48" s="20">
        <v>0</v>
      </c>
      <c r="H48" s="21">
        <v>0</v>
      </c>
      <c r="I48" s="20">
        <v>0</v>
      </c>
      <c r="J48" s="21">
        <v>0</v>
      </c>
    </row>
    <row r="49" spans="1:10" x14ac:dyDescent="0.2">
      <c r="A49" s="19">
        <v>45</v>
      </c>
      <c r="B49" s="20" t="s">
        <v>78</v>
      </c>
      <c r="C49" s="20">
        <v>0</v>
      </c>
      <c r="D49" s="21">
        <v>0</v>
      </c>
      <c r="E49" s="20">
        <v>0</v>
      </c>
      <c r="F49" s="21">
        <v>0</v>
      </c>
      <c r="G49" s="20">
        <v>0</v>
      </c>
      <c r="H49" s="21">
        <v>0</v>
      </c>
      <c r="I49" s="20">
        <v>0</v>
      </c>
      <c r="J49" s="21">
        <v>0</v>
      </c>
    </row>
    <row r="50" spans="1:10" x14ac:dyDescent="0.2">
      <c r="A50" s="19">
        <v>46</v>
      </c>
      <c r="B50" s="20" t="s">
        <v>95</v>
      </c>
      <c r="C50" s="20">
        <v>0</v>
      </c>
      <c r="D50" s="21">
        <v>0</v>
      </c>
      <c r="E50" s="20">
        <v>0</v>
      </c>
      <c r="F50" s="21">
        <v>0</v>
      </c>
      <c r="G50" s="20">
        <v>0</v>
      </c>
      <c r="H50" s="21">
        <v>0</v>
      </c>
      <c r="I50" s="20">
        <v>0</v>
      </c>
      <c r="J50" s="21">
        <v>0</v>
      </c>
    </row>
    <row r="51" spans="1:10" x14ac:dyDescent="0.2">
      <c r="A51" s="19">
        <v>47</v>
      </c>
      <c r="B51" s="20" t="s">
        <v>96</v>
      </c>
      <c r="C51" s="20">
        <v>0</v>
      </c>
      <c r="D51" s="21">
        <v>0</v>
      </c>
      <c r="E51" s="20">
        <v>0</v>
      </c>
      <c r="F51" s="21">
        <v>0</v>
      </c>
      <c r="G51" s="20">
        <v>0</v>
      </c>
      <c r="H51" s="21">
        <v>0</v>
      </c>
      <c r="I51" s="20">
        <v>0</v>
      </c>
      <c r="J51" s="21">
        <v>0</v>
      </c>
    </row>
    <row r="52" spans="1:10" x14ac:dyDescent="0.2">
      <c r="A52" s="19">
        <v>48</v>
      </c>
      <c r="B52" s="1" t="s">
        <v>52</v>
      </c>
      <c r="C52" s="20">
        <v>0</v>
      </c>
      <c r="D52" s="21">
        <v>0</v>
      </c>
      <c r="E52" s="20">
        <v>0</v>
      </c>
      <c r="F52" s="21">
        <v>0</v>
      </c>
      <c r="G52" s="20">
        <v>0</v>
      </c>
      <c r="H52" s="21">
        <v>0</v>
      </c>
      <c r="I52" s="20">
        <v>0</v>
      </c>
      <c r="J52" s="21">
        <v>0</v>
      </c>
    </row>
    <row r="53" spans="1:10" x14ac:dyDescent="0.2">
      <c r="A53" s="19">
        <v>49</v>
      </c>
      <c r="B53" s="20" t="s">
        <v>46</v>
      </c>
      <c r="C53" s="20">
        <v>974</v>
      </c>
      <c r="D53" s="21">
        <v>8.01</v>
      </c>
      <c r="E53" s="20">
        <v>974</v>
      </c>
      <c r="F53" s="21">
        <v>8.01</v>
      </c>
      <c r="G53" s="20">
        <v>6</v>
      </c>
      <c r="H53" s="21">
        <v>0.2</v>
      </c>
      <c r="I53" s="20">
        <v>6</v>
      </c>
      <c r="J53" s="21">
        <v>0.2</v>
      </c>
    </row>
    <row r="54" spans="1:10" x14ac:dyDescent="0.2">
      <c r="A54" s="19">
        <v>50</v>
      </c>
      <c r="B54" s="20" t="s">
        <v>79</v>
      </c>
      <c r="C54" s="20">
        <v>11242</v>
      </c>
      <c r="D54" s="21">
        <v>31.11</v>
      </c>
      <c r="E54" s="20">
        <v>0</v>
      </c>
      <c r="F54" s="21">
        <v>0</v>
      </c>
      <c r="G54" s="20">
        <v>0</v>
      </c>
      <c r="H54" s="21">
        <v>0</v>
      </c>
      <c r="I54" s="20">
        <v>0</v>
      </c>
      <c r="J54" s="21">
        <v>0</v>
      </c>
    </row>
    <row r="55" spans="1:10" x14ac:dyDescent="0.2">
      <c r="A55" s="19"/>
      <c r="B55" s="10" t="s">
        <v>110</v>
      </c>
      <c r="C55" s="10">
        <f t="shared" ref="C55:J55" si="0">SUM(C5:C54)</f>
        <v>65032</v>
      </c>
      <c r="D55" s="9">
        <f t="shared" si="0"/>
        <v>828.53000000000009</v>
      </c>
      <c r="E55" s="10">
        <f t="shared" si="0"/>
        <v>20924</v>
      </c>
      <c r="F55" s="9">
        <f t="shared" si="0"/>
        <v>373.49</v>
      </c>
      <c r="G55" s="10">
        <f t="shared" si="0"/>
        <v>26717</v>
      </c>
      <c r="H55" s="9">
        <f t="shared" si="0"/>
        <v>488.35</v>
      </c>
      <c r="I55" s="10">
        <f t="shared" si="0"/>
        <v>12572</v>
      </c>
      <c r="J55" s="9">
        <f t="shared" si="0"/>
        <v>302.66000000000003</v>
      </c>
    </row>
    <row r="57" spans="1:10" x14ac:dyDescent="0.2">
      <c r="B57" s="24"/>
    </row>
  </sheetData>
  <mergeCells count="7">
    <mergeCell ref="A1:J1"/>
    <mergeCell ref="C2:F2"/>
    <mergeCell ref="G2:I2"/>
    <mergeCell ref="C3:D3"/>
    <mergeCell ref="E3:F3"/>
    <mergeCell ref="G3:H3"/>
    <mergeCell ref="I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65"/>
  <sheetViews>
    <sheetView view="pageBreakPreview" zoomScale="60" zoomScaleNormal="100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W58" sqref="W58"/>
    </sheetView>
  </sheetViews>
  <sheetFormatPr defaultRowHeight="12.75" x14ac:dyDescent="0.2"/>
  <cols>
    <col min="1" max="1" width="5.5703125" style="205" customWidth="1"/>
    <col min="2" max="2" width="24.140625" style="205" customWidth="1"/>
    <col min="3" max="3" width="9.28515625" style="207" bestFit="1" customWidth="1"/>
    <col min="4" max="4" width="11.42578125" style="207" bestFit="1" customWidth="1"/>
    <col min="5" max="5" width="9.28515625" style="207" bestFit="1" customWidth="1"/>
    <col min="6" max="6" width="11.42578125" style="207" bestFit="1" customWidth="1"/>
    <col min="7" max="7" width="9.28515625" style="207" bestFit="1" customWidth="1"/>
    <col min="8" max="8" width="10.42578125" style="207" bestFit="1" customWidth="1"/>
    <col min="9" max="9" width="9.28515625" style="207" bestFit="1" customWidth="1"/>
    <col min="10" max="10" width="11.42578125" style="207" bestFit="1" customWidth="1"/>
    <col min="11" max="11" width="9.28515625" style="207" bestFit="1" customWidth="1"/>
    <col min="12" max="12" width="9.42578125" style="207" bestFit="1" customWidth="1"/>
    <col min="13" max="15" width="9.28515625" style="207" bestFit="1" customWidth="1"/>
    <col min="16" max="16" width="11.42578125" style="207" bestFit="1" customWidth="1"/>
    <col min="17" max="16384" width="9.140625" style="205"/>
  </cols>
  <sheetData>
    <row r="1" spans="1:16" ht="15.75" customHeight="1" x14ac:dyDescent="0.2">
      <c r="A1" s="536" t="s">
        <v>369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</row>
    <row r="2" spans="1:16" ht="14.25" x14ac:dyDescent="0.2">
      <c r="A2" s="48" t="s">
        <v>117</v>
      </c>
      <c r="B2" s="48"/>
      <c r="C2" s="195"/>
      <c r="D2" s="195"/>
      <c r="E2" s="195"/>
      <c r="F2" s="195"/>
    </row>
    <row r="3" spans="1:16" ht="15" customHeight="1" x14ac:dyDescent="0.2">
      <c r="A3" s="33"/>
      <c r="B3" s="567" t="s">
        <v>12</v>
      </c>
      <c r="C3" s="567"/>
      <c r="D3" s="567"/>
      <c r="M3" s="568" t="s">
        <v>182</v>
      </c>
      <c r="N3" s="568"/>
    </row>
    <row r="4" spans="1:16" ht="13.5" x14ac:dyDescent="0.2">
      <c r="A4" s="546" t="s">
        <v>231</v>
      </c>
      <c r="B4" s="546" t="s">
        <v>3</v>
      </c>
      <c r="C4" s="532" t="s">
        <v>27</v>
      </c>
      <c r="D4" s="532"/>
      <c r="E4" s="532" t="s">
        <v>180</v>
      </c>
      <c r="F4" s="532"/>
      <c r="G4" s="532" t="s">
        <v>28</v>
      </c>
      <c r="H4" s="532"/>
      <c r="I4" s="532" t="s">
        <v>26</v>
      </c>
      <c r="J4" s="532"/>
      <c r="K4" s="532" t="s">
        <v>181</v>
      </c>
      <c r="L4" s="532"/>
      <c r="M4" s="532" t="s">
        <v>29</v>
      </c>
      <c r="N4" s="532"/>
      <c r="O4" s="532" t="s">
        <v>0</v>
      </c>
      <c r="P4" s="532"/>
    </row>
    <row r="5" spans="1:16" ht="13.5" x14ac:dyDescent="0.2">
      <c r="A5" s="546"/>
      <c r="B5" s="546"/>
      <c r="C5" s="193" t="s">
        <v>30</v>
      </c>
      <c r="D5" s="193" t="s">
        <v>17</v>
      </c>
      <c r="E5" s="193" t="s">
        <v>30</v>
      </c>
      <c r="F5" s="193" t="s">
        <v>17</v>
      </c>
      <c r="G5" s="193" t="s">
        <v>30</v>
      </c>
      <c r="H5" s="193" t="s">
        <v>17</v>
      </c>
      <c r="I5" s="193" t="s">
        <v>30</v>
      </c>
      <c r="J5" s="193" t="s">
        <v>17</v>
      </c>
      <c r="K5" s="193" t="s">
        <v>30</v>
      </c>
      <c r="L5" s="193" t="s">
        <v>17</v>
      </c>
      <c r="M5" s="193" t="s">
        <v>30</v>
      </c>
      <c r="N5" s="193" t="s">
        <v>17</v>
      </c>
      <c r="O5" s="193" t="s">
        <v>30</v>
      </c>
      <c r="P5" s="193" t="s">
        <v>17</v>
      </c>
    </row>
    <row r="6" spans="1:16" ht="15" customHeight="1" x14ac:dyDescent="0.2">
      <c r="A6" s="57">
        <v>1</v>
      </c>
      <c r="B6" s="58" t="s">
        <v>55</v>
      </c>
      <c r="C6" s="184">
        <v>5975</v>
      </c>
      <c r="D6" s="184">
        <v>10742</v>
      </c>
      <c r="E6" s="184">
        <v>10145</v>
      </c>
      <c r="F6" s="184">
        <v>20526</v>
      </c>
      <c r="G6" s="174">
        <v>62</v>
      </c>
      <c r="H6" s="174">
        <v>102</v>
      </c>
      <c r="I6" s="174">
        <v>845</v>
      </c>
      <c r="J6" s="174">
        <v>6002</v>
      </c>
      <c r="K6" s="174">
        <v>0</v>
      </c>
      <c r="L6" s="174">
        <v>0</v>
      </c>
      <c r="M6" s="174">
        <v>1989</v>
      </c>
      <c r="N6" s="174">
        <v>15315</v>
      </c>
      <c r="O6" s="174">
        <f>C6+E6+G6+I6+K6+M6</f>
        <v>19016</v>
      </c>
      <c r="P6" s="174">
        <f>D6+F6+H6+J6+L6+N6</f>
        <v>52687</v>
      </c>
    </row>
    <row r="7" spans="1:16" ht="15" customHeight="1" x14ac:dyDescent="0.2">
      <c r="A7" s="57">
        <v>2</v>
      </c>
      <c r="B7" s="58" t="s">
        <v>56</v>
      </c>
      <c r="C7" s="174">
        <v>36</v>
      </c>
      <c r="D7" s="174">
        <v>119.93</v>
      </c>
      <c r="E7" s="174">
        <v>452</v>
      </c>
      <c r="F7" s="174">
        <v>906.14</v>
      </c>
      <c r="G7" s="174">
        <v>0</v>
      </c>
      <c r="H7" s="174">
        <v>0</v>
      </c>
      <c r="I7" s="174">
        <v>137</v>
      </c>
      <c r="J7" s="174">
        <v>647.65</v>
      </c>
      <c r="K7" s="174">
        <v>0</v>
      </c>
      <c r="L7" s="174">
        <v>0</v>
      </c>
      <c r="M7" s="174">
        <v>85</v>
      </c>
      <c r="N7" s="174">
        <v>1511.76</v>
      </c>
      <c r="O7" s="174">
        <f t="shared" ref="O7:O61" si="0">C7+E7+G7+I7+K7+M7</f>
        <v>710</v>
      </c>
      <c r="P7" s="174">
        <f t="shared" ref="P7:P61" si="1">D7+F7+H7+J7+L7+N7</f>
        <v>3185.4799999999996</v>
      </c>
    </row>
    <row r="8" spans="1:16" ht="15" customHeight="1" x14ac:dyDescent="0.2">
      <c r="A8" s="57">
        <v>3</v>
      </c>
      <c r="B8" s="58" t="s">
        <v>57</v>
      </c>
      <c r="C8" s="174">
        <v>382</v>
      </c>
      <c r="D8" s="174">
        <v>1562</v>
      </c>
      <c r="E8" s="174">
        <v>3905</v>
      </c>
      <c r="F8" s="174">
        <v>16290</v>
      </c>
      <c r="G8" s="174">
        <v>57</v>
      </c>
      <c r="H8" s="174">
        <v>174</v>
      </c>
      <c r="I8" s="174">
        <v>679</v>
      </c>
      <c r="J8" s="174">
        <v>26512</v>
      </c>
      <c r="K8" s="174">
        <v>2</v>
      </c>
      <c r="L8" s="174">
        <v>10</v>
      </c>
      <c r="M8" s="174">
        <v>2756</v>
      </c>
      <c r="N8" s="174">
        <v>54591</v>
      </c>
      <c r="O8" s="174">
        <f t="shared" si="0"/>
        <v>7781</v>
      </c>
      <c r="P8" s="174">
        <f t="shared" si="1"/>
        <v>99139</v>
      </c>
    </row>
    <row r="9" spans="1:16" ht="15" customHeight="1" x14ac:dyDescent="0.2">
      <c r="A9" s="57">
        <v>4</v>
      </c>
      <c r="B9" s="58" t="s">
        <v>58</v>
      </c>
      <c r="C9" s="174">
        <v>597</v>
      </c>
      <c r="D9" s="174">
        <v>1925</v>
      </c>
      <c r="E9" s="174">
        <v>17386</v>
      </c>
      <c r="F9" s="174">
        <v>36986</v>
      </c>
      <c r="G9" s="174">
        <v>23</v>
      </c>
      <c r="H9" s="174">
        <v>48</v>
      </c>
      <c r="I9" s="174">
        <v>783</v>
      </c>
      <c r="J9" s="174">
        <v>12248</v>
      </c>
      <c r="K9" s="174">
        <v>1</v>
      </c>
      <c r="L9" s="174">
        <v>2</v>
      </c>
      <c r="M9" s="174">
        <v>165</v>
      </c>
      <c r="N9" s="174">
        <v>1524</v>
      </c>
      <c r="O9" s="174">
        <f t="shared" si="0"/>
        <v>18955</v>
      </c>
      <c r="P9" s="174">
        <f t="shared" si="1"/>
        <v>52733</v>
      </c>
    </row>
    <row r="10" spans="1:16" ht="15" customHeight="1" x14ac:dyDescent="0.2">
      <c r="A10" s="57">
        <v>5</v>
      </c>
      <c r="B10" s="58" t="s">
        <v>59</v>
      </c>
      <c r="C10" s="174">
        <v>302</v>
      </c>
      <c r="D10" s="174">
        <v>637</v>
      </c>
      <c r="E10" s="174">
        <v>3493</v>
      </c>
      <c r="F10" s="174">
        <v>7702</v>
      </c>
      <c r="G10" s="174">
        <v>181</v>
      </c>
      <c r="H10" s="174">
        <v>161</v>
      </c>
      <c r="I10" s="174">
        <v>4029</v>
      </c>
      <c r="J10" s="174">
        <v>7862</v>
      </c>
      <c r="K10" s="174">
        <v>0</v>
      </c>
      <c r="L10" s="174">
        <v>0</v>
      </c>
      <c r="M10" s="174">
        <v>931</v>
      </c>
      <c r="N10" s="174">
        <v>6023</v>
      </c>
      <c r="O10" s="174">
        <f t="shared" si="0"/>
        <v>8936</v>
      </c>
      <c r="P10" s="174">
        <f t="shared" si="1"/>
        <v>22385</v>
      </c>
    </row>
    <row r="11" spans="1:16" ht="15" customHeight="1" x14ac:dyDescent="0.2">
      <c r="A11" s="57">
        <v>6</v>
      </c>
      <c r="B11" s="182" t="s">
        <v>242</v>
      </c>
      <c r="C11" s="174">
        <v>2</v>
      </c>
      <c r="D11" s="174">
        <v>1.19</v>
      </c>
      <c r="E11" s="174">
        <v>31</v>
      </c>
      <c r="F11" s="174">
        <v>24.95</v>
      </c>
      <c r="G11" s="174">
        <v>0</v>
      </c>
      <c r="H11" s="174">
        <v>0</v>
      </c>
      <c r="I11" s="174">
        <v>3</v>
      </c>
      <c r="J11" s="174">
        <v>6</v>
      </c>
      <c r="K11" s="174">
        <v>0</v>
      </c>
      <c r="L11" s="174">
        <v>0</v>
      </c>
      <c r="M11" s="174">
        <v>9</v>
      </c>
      <c r="N11" s="174">
        <v>28.35</v>
      </c>
      <c r="O11" s="174">
        <f t="shared" si="0"/>
        <v>45</v>
      </c>
      <c r="P11" s="174">
        <f t="shared" si="1"/>
        <v>60.49</v>
      </c>
    </row>
    <row r="12" spans="1:16" ht="15" customHeight="1" x14ac:dyDescent="0.2">
      <c r="A12" s="57">
        <v>7</v>
      </c>
      <c r="B12" s="58" t="s">
        <v>60</v>
      </c>
      <c r="C12" s="174">
        <v>2026</v>
      </c>
      <c r="D12" s="174">
        <v>6475</v>
      </c>
      <c r="E12" s="174">
        <v>5722</v>
      </c>
      <c r="F12" s="174">
        <v>12496</v>
      </c>
      <c r="G12" s="174">
        <v>202</v>
      </c>
      <c r="H12" s="174">
        <v>1558</v>
      </c>
      <c r="I12" s="174">
        <v>1888</v>
      </c>
      <c r="J12" s="174">
        <v>5466</v>
      </c>
      <c r="K12" s="174">
        <v>306</v>
      </c>
      <c r="L12" s="174">
        <v>3475</v>
      </c>
      <c r="M12" s="174">
        <v>2085</v>
      </c>
      <c r="N12" s="174">
        <v>2521</v>
      </c>
      <c r="O12" s="174">
        <f t="shared" si="0"/>
        <v>12229</v>
      </c>
      <c r="P12" s="174">
        <f t="shared" si="1"/>
        <v>31991</v>
      </c>
    </row>
    <row r="13" spans="1:16" ht="15" customHeight="1" x14ac:dyDescent="0.2">
      <c r="A13" s="57">
        <v>8</v>
      </c>
      <c r="B13" s="58" t="s">
        <v>61</v>
      </c>
      <c r="C13" s="174">
        <v>1187</v>
      </c>
      <c r="D13" s="174">
        <v>701</v>
      </c>
      <c r="E13" s="174">
        <v>14893</v>
      </c>
      <c r="F13" s="174">
        <v>13087</v>
      </c>
      <c r="G13" s="174">
        <v>0</v>
      </c>
      <c r="H13" s="174">
        <v>0</v>
      </c>
      <c r="I13" s="174">
        <v>2917</v>
      </c>
      <c r="J13" s="174">
        <v>2580</v>
      </c>
      <c r="K13" s="174">
        <v>4</v>
      </c>
      <c r="L13" s="174">
        <v>19</v>
      </c>
      <c r="M13" s="174">
        <v>6943</v>
      </c>
      <c r="N13" s="174">
        <v>5139</v>
      </c>
      <c r="O13" s="174">
        <f t="shared" si="0"/>
        <v>25944</v>
      </c>
      <c r="P13" s="174">
        <f t="shared" si="1"/>
        <v>21526</v>
      </c>
    </row>
    <row r="14" spans="1:16" ht="15" customHeight="1" x14ac:dyDescent="0.2">
      <c r="A14" s="57">
        <v>9</v>
      </c>
      <c r="B14" s="58" t="s">
        <v>48</v>
      </c>
      <c r="C14" s="174">
        <v>121</v>
      </c>
      <c r="D14" s="174">
        <v>391.32</v>
      </c>
      <c r="E14" s="174">
        <v>1154</v>
      </c>
      <c r="F14" s="174">
        <v>3871</v>
      </c>
      <c r="G14" s="174">
        <v>16</v>
      </c>
      <c r="H14" s="174">
        <v>31.18</v>
      </c>
      <c r="I14" s="174">
        <v>169</v>
      </c>
      <c r="J14" s="174">
        <v>976.16</v>
      </c>
      <c r="K14" s="174">
        <v>0</v>
      </c>
      <c r="L14" s="174">
        <v>0</v>
      </c>
      <c r="M14" s="174">
        <v>385</v>
      </c>
      <c r="N14" s="174">
        <v>2849</v>
      </c>
      <c r="O14" s="174">
        <f t="shared" si="0"/>
        <v>1845</v>
      </c>
      <c r="P14" s="174">
        <f t="shared" si="1"/>
        <v>8118.66</v>
      </c>
    </row>
    <row r="15" spans="1:16" ht="15" customHeight="1" x14ac:dyDescent="0.2">
      <c r="A15" s="57">
        <v>10</v>
      </c>
      <c r="B15" s="58" t="s">
        <v>49</v>
      </c>
      <c r="C15" s="174">
        <v>97</v>
      </c>
      <c r="D15" s="174">
        <v>331</v>
      </c>
      <c r="E15" s="174">
        <v>2083</v>
      </c>
      <c r="F15" s="174">
        <v>3716</v>
      </c>
      <c r="G15" s="174">
        <v>3</v>
      </c>
      <c r="H15" s="174">
        <v>3</v>
      </c>
      <c r="I15" s="174">
        <v>170</v>
      </c>
      <c r="J15" s="174">
        <v>750</v>
      </c>
      <c r="K15" s="174">
        <v>4</v>
      </c>
      <c r="L15" s="174">
        <v>11</v>
      </c>
      <c r="M15" s="174">
        <v>564</v>
      </c>
      <c r="N15" s="174">
        <v>1880</v>
      </c>
      <c r="O15" s="174">
        <f t="shared" si="0"/>
        <v>2921</v>
      </c>
      <c r="P15" s="174">
        <f t="shared" si="1"/>
        <v>6691</v>
      </c>
    </row>
    <row r="16" spans="1:16" ht="15" customHeight="1" x14ac:dyDescent="0.2">
      <c r="A16" s="57">
        <v>11</v>
      </c>
      <c r="B16" s="58" t="s">
        <v>81</v>
      </c>
      <c r="C16" s="174">
        <v>35</v>
      </c>
      <c r="D16" s="174">
        <v>379</v>
      </c>
      <c r="E16" s="174">
        <v>243</v>
      </c>
      <c r="F16" s="174">
        <v>904</v>
      </c>
      <c r="G16" s="174">
        <v>0</v>
      </c>
      <c r="H16" s="174">
        <v>0</v>
      </c>
      <c r="I16" s="174">
        <v>24</v>
      </c>
      <c r="J16" s="174">
        <v>531</v>
      </c>
      <c r="K16" s="174">
        <v>0</v>
      </c>
      <c r="L16" s="174">
        <v>0</v>
      </c>
      <c r="M16" s="174">
        <v>265</v>
      </c>
      <c r="N16" s="174">
        <v>2567</v>
      </c>
      <c r="O16" s="174">
        <f t="shared" si="0"/>
        <v>567</v>
      </c>
      <c r="P16" s="174">
        <f t="shared" si="1"/>
        <v>4381</v>
      </c>
    </row>
    <row r="17" spans="1:16" ht="15" customHeight="1" x14ac:dyDescent="0.2">
      <c r="A17" s="57">
        <v>12</v>
      </c>
      <c r="B17" s="58" t="s">
        <v>62</v>
      </c>
      <c r="C17" s="174">
        <v>66</v>
      </c>
      <c r="D17" s="174">
        <v>255.09</v>
      </c>
      <c r="E17" s="174">
        <v>932</v>
      </c>
      <c r="F17" s="174">
        <v>2035.87</v>
      </c>
      <c r="G17" s="174">
        <v>0</v>
      </c>
      <c r="H17" s="174">
        <v>0</v>
      </c>
      <c r="I17" s="174">
        <v>49</v>
      </c>
      <c r="J17" s="174">
        <v>176.69</v>
      </c>
      <c r="K17" s="174">
        <v>0</v>
      </c>
      <c r="L17" s="174">
        <v>0</v>
      </c>
      <c r="M17" s="174">
        <v>0</v>
      </c>
      <c r="N17" s="174">
        <v>0</v>
      </c>
      <c r="O17" s="174">
        <f t="shared" si="0"/>
        <v>1047</v>
      </c>
      <c r="P17" s="174">
        <f t="shared" si="1"/>
        <v>2467.65</v>
      </c>
    </row>
    <row r="18" spans="1:16" ht="15" customHeight="1" x14ac:dyDescent="0.2">
      <c r="A18" s="57">
        <v>13</v>
      </c>
      <c r="B18" s="58" t="s">
        <v>63</v>
      </c>
      <c r="C18" s="174">
        <v>40</v>
      </c>
      <c r="D18" s="174">
        <v>69.03</v>
      </c>
      <c r="E18" s="174">
        <v>443</v>
      </c>
      <c r="F18" s="174">
        <v>737.21</v>
      </c>
      <c r="G18" s="174">
        <v>1</v>
      </c>
      <c r="H18" s="174">
        <v>0.92</v>
      </c>
      <c r="I18" s="174">
        <v>57</v>
      </c>
      <c r="J18" s="174">
        <v>179.1</v>
      </c>
      <c r="K18" s="174">
        <v>0</v>
      </c>
      <c r="L18" s="174">
        <v>0</v>
      </c>
      <c r="M18" s="174">
        <v>14</v>
      </c>
      <c r="N18" s="174">
        <v>48.79</v>
      </c>
      <c r="O18" s="174">
        <f t="shared" si="0"/>
        <v>555</v>
      </c>
      <c r="P18" s="174">
        <f t="shared" si="1"/>
        <v>1035.05</v>
      </c>
    </row>
    <row r="19" spans="1:16" ht="15" customHeight="1" x14ac:dyDescent="0.2">
      <c r="A19" s="57">
        <v>14</v>
      </c>
      <c r="B19" s="91" t="s">
        <v>207</v>
      </c>
      <c r="C19" s="174">
        <v>107</v>
      </c>
      <c r="D19" s="174">
        <v>367.39</v>
      </c>
      <c r="E19" s="174">
        <v>1632</v>
      </c>
      <c r="F19" s="174">
        <v>3606.25</v>
      </c>
      <c r="G19" s="174">
        <v>10</v>
      </c>
      <c r="H19" s="174">
        <v>19.21</v>
      </c>
      <c r="I19" s="174">
        <v>282</v>
      </c>
      <c r="J19" s="174">
        <v>1270.69</v>
      </c>
      <c r="K19" s="174">
        <v>0</v>
      </c>
      <c r="L19" s="174">
        <v>0</v>
      </c>
      <c r="M19" s="174">
        <v>82</v>
      </c>
      <c r="N19" s="174">
        <v>639.54999999999995</v>
      </c>
      <c r="O19" s="174">
        <f t="shared" si="0"/>
        <v>2113</v>
      </c>
      <c r="P19" s="174">
        <f t="shared" si="1"/>
        <v>5903.09</v>
      </c>
    </row>
    <row r="20" spans="1:16" ht="15" customHeight="1" x14ac:dyDescent="0.2">
      <c r="A20" s="57">
        <v>15</v>
      </c>
      <c r="B20" s="58" t="s">
        <v>208</v>
      </c>
      <c r="C20" s="174">
        <v>66</v>
      </c>
      <c r="D20" s="174">
        <v>27</v>
      </c>
      <c r="E20" s="174">
        <v>975</v>
      </c>
      <c r="F20" s="174">
        <v>821</v>
      </c>
      <c r="G20" s="174">
        <v>0</v>
      </c>
      <c r="H20" s="174">
        <v>0</v>
      </c>
      <c r="I20" s="174">
        <v>1985</v>
      </c>
      <c r="J20" s="174">
        <v>8470</v>
      </c>
      <c r="K20" s="174">
        <v>0</v>
      </c>
      <c r="L20" s="174">
        <v>0</v>
      </c>
      <c r="M20" s="174">
        <v>36</v>
      </c>
      <c r="N20" s="174">
        <v>72</v>
      </c>
      <c r="O20" s="174">
        <f t="shared" si="0"/>
        <v>3062</v>
      </c>
      <c r="P20" s="174">
        <f t="shared" si="1"/>
        <v>9390</v>
      </c>
    </row>
    <row r="21" spans="1:16" ht="15" customHeight="1" x14ac:dyDescent="0.2">
      <c r="A21" s="57">
        <v>16</v>
      </c>
      <c r="B21" s="58" t="s">
        <v>64</v>
      </c>
      <c r="C21" s="174">
        <v>492</v>
      </c>
      <c r="D21" s="174">
        <v>1225</v>
      </c>
      <c r="E21" s="174">
        <v>6509</v>
      </c>
      <c r="F21" s="174">
        <v>16089</v>
      </c>
      <c r="G21" s="174">
        <v>31</v>
      </c>
      <c r="H21" s="174">
        <v>40</v>
      </c>
      <c r="I21" s="174">
        <v>911</v>
      </c>
      <c r="J21" s="174">
        <v>9807</v>
      </c>
      <c r="K21" s="174">
        <v>4</v>
      </c>
      <c r="L21" s="174">
        <v>2</v>
      </c>
      <c r="M21" s="174">
        <v>1624</v>
      </c>
      <c r="N21" s="174">
        <v>9770</v>
      </c>
      <c r="O21" s="174">
        <f t="shared" si="0"/>
        <v>9571</v>
      </c>
      <c r="P21" s="174">
        <f t="shared" si="1"/>
        <v>36933</v>
      </c>
    </row>
    <row r="22" spans="1:16" ht="15" customHeight="1" x14ac:dyDescent="0.2">
      <c r="A22" s="57">
        <v>17</v>
      </c>
      <c r="B22" s="91" t="s">
        <v>69</v>
      </c>
      <c r="C22" s="174">
        <v>16</v>
      </c>
      <c r="D22" s="174">
        <v>71</v>
      </c>
      <c r="E22" s="174">
        <v>157</v>
      </c>
      <c r="F22" s="174">
        <v>1200</v>
      </c>
      <c r="G22" s="174">
        <v>0</v>
      </c>
      <c r="H22" s="174">
        <v>0</v>
      </c>
      <c r="I22" s="174">
        <v>3</v>
      </c>
      <c r="J22" s="174">
        <v>16</v>
      </c>
      <c r="K22" s="174">
        <v>0</v>
      </c>
      <c r="L22" s="174">
        <v>0</v>
      </c>
      <c r="M22" s="174">
        <v>23</v>
      </c>
      <c r="N22" s="174">
        <v>131</v>
      </c>
      <c r="O22" s="174">
        <f t="shared" si="0"/>
        <v>199</v>
      </c>
      <c r="P22" s="174">
        <f t="shared" si="1"/>
        <v>1418</v>
      </c>
    </row>
    <row r="23" spans="1:16" ht="15" customHeight="1" x14ac:dyDescent="0.2">
      <c r="A23" s="57">
        <v>18</v>
      </c>
      <c r="B23" s="58" t="s">
        <v>209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f t="shared" si="0"/>
        <v>0</v>
      </c>
      <c r="P23" s="174">
        <f t="shared" si="1"/>
        <v>0</v>
      </c>
    </row>
    <row r="24" spans="1:16" ht="15" customHeight="1" x14ac:dyDescent="0.2">
      <c r="A24" s="57">
        <v>19</v>
      </c>
      <c r="B24" s="92" t="s">
        <v>210</v>
      </c>
      <c r="C24" s="174">
        <v>13</v>
      </c>
      <c r="D24" s="174">
        <v>157.59</v>
      </c>
      <c r="E24" s="174">
        <v>90</v>
      </c>
      <c r="F24" s="174">
        <v>251.94</v>
      </c>
      <c r="G24" s="174">
        <v>0</v>
      </c>
      <c r="H24" s="174">
        <v>0</v>
      </c>
      <c r="I24" s="174">
        <v>8</v>
      </c>
      <c r="J24" s="174">
        <v>68.14</v>
      </c>
      <c r="K24" s="174">
        <v>0</v>
      </c>
      <c r="L24" s="174">
        <v>0</v>
      </c>
      <c r="M24" s="174">
        <v>93</v>
      </c>
      <c r="N24" s="174">
        <v>366.7</v>
      </c>
      <c r="O24" s="174">
        <f t="shared" si="0"/>
        <v>204</v>
      </c>
      <c r="P24" s="174">
        <f t="shared" si="1"/>
        <v>844.36999999999989</v>
      </c>
    </row>
    <row r="25" spans="1:16" ht="15" customHeight="1" x14ac:dyDescent="0.2">
      <c r="A25" s="57">
        <v>20</v>
      </c>
      <c r="B25" s="58" t="s">
        <v>211</v>
      </c>
      <c r="C25" s="174">
        <v>32</v>
      </c>
      <c r="D25" s="174">
        <v>570</v>
      </c>
      <c r="E25" s="174">
        <v>27</v>
      </c>
      <c r="F25" s="174">
        <v>457</v>
      </c>
      <c r="G25" s="174">
        <v>4</v>
      </c>
      <c r="H25" s="174">
        <v>46</v>
      </c>
      <c r="I25" s="174">
        <v>16</v>
      </c>
      <c r="J25" s="174">
        <v>18</v>
      </c>
      <c r="K25" s="174">
        <v>0</v>
      </c>
      <c r="L25" s="174">
        <v>0</v>
      </c>
      <c r="M25" s="174">
        <v>0</v>
      </c>
      <c r="N25" s="174">
        <v>0</v>
      </c>
      <c r="O25" s="174">
        <f t="shared" si="0"/>
        <v>79</v>
      </c>
      <c r="P25" s="174">
        <f t="shared" si="1"/>
        <v>1091</v>
      </c>
    </row>
    <row r="26" spans="1:16" ht="15" customHeight="1" x14ac:dyDescent="0.2">
      <c r="A26" s="57">
        <v>21</v>
      </c>
      <c r="B26" s="58" t="s">
        <v>212</v>
      </c>
      <c r="C26" s="174">
        <v>40</v>
      </c>
      <c r="D26" s="174">
        <v>265</v>
      </c>
      <c r="E26" s="174">
        <v>299</v>
      </c>
      <c r="F26" s="174">
        <v>826</v>
      </c>
      <c r="G26" s="174">
        <v>0</v>
      </c>
      <c r="H26" s="174">
        <v>0</v>
      </c>
      <c r="I26" s="174">
        <v>25</v>
      </c>
      <c r="J26" s="174">
        <v>94</v>
      </c>
      <c r="K26" s="174">
        <v>0</v>
      </c>
      <c r="L26" s="174">
        <v>0</v>
      </c>
      <c r="M26" s="174">
        <v>289</v>
      </c>
      <c r="N26" s="174">
        <v>1869</v>
      </c>
      <c r="O26" s="174">
        <f t="shared" si="0"/>
        <v>653</v>
      </c>
      <c r="P26" s="174">
        <f t="shared" si="1"/>
        <v>3054</v>
      </c>
    </row>
    <row r="27" spans="1:16" ht="15" customHeight="1" x14ac:dyDescent="0.2">
      <c r="A27" s="57">
        <v>22</v>
      </c>
      <c r="B27" s="58" t="s">
        <v>70</v>
      </c>
      <c r="C27" s="174">
        <v>7844</v>
      </c>
      <c r="D27" s="174">
        <v>4848</v>
      </c>
      <c r="E27" s="174">
        <v>69164</v>
      </c>
      <c r="F27" s="174">
        <v>105519</v>
      </c>
      <c r="G27" s="174">
        <v>3711</v>
      </c>
      <c r="H27" s="174">
        <v>4976</v>
      </c>
      <c r="I27" s="174">
        <v>15874</v>
      </c>
      <c r="J27" s="174">
        <v>33149</v>
      </c>
      <c r="K27" s="174">
        <v>217</v>
      </c>
      <c r="L27" s="174">
        <v>741</v>
      </c>
      <c r="M27" s="174">
        <v>13587</v>
      </c>
      <c r="N27" s="174">
        <v>31189</v>
      </c>
      <c r="O27" s="174">
        <f t="shared" si="0"/>
        <v>110397</v>
      </c>
      <c r="P27" s="174">
        <f t="shared" si="1"/>
        <v>180422</v>
      </c>
    </row>
    <row r="28" spans="1:16" ht="15" customHeight="1" x14ac:dyDescent="0.2">
      <c r="A28" s="57">
        <v>23</v>
      </c>
      <c r="B28" s="58" t="s">
        <v>65</v>
      </c>
      <c r="C28" s="174">
        <v>113</v>
      </c>
      <c r="D28" s="174">
        <v>247</v>
      </c>
      <c r="E28" s="174">
        <v>2145</v>
      </c>
      <c r="F28" s="174">
        <v>4321</v>
      </c>
      <c r="G28" s="174">
        <v>1932</v>
      </c>
      <c r="H28" s="174">
        <v>10</v>
      </c>
      <c r="I28" s="174">
        <v>139</v>
      </c>
      <c r="J28" s="174">
        <v>1903</v>
      </c>
      <c r="K28" s="174">
        <v>0</v>
      </c>
      <c r="L28" s="174">
        <v>0</v>
      </c>
      <c r="M28" s="174">
        <v>380</v>
      </c>
      <c r="N28" s="174">
        <v>960</v>
      </c>
      <c r="O28" s="174">
        <f t="shared" si="0"/>
        <v>4709</v>
      </c>
      <c r="P28" s="174">
        <f t="shared" si="1"/>
        <v>7441</v>
      </c>
    </row>
    <row r="29" spans="1:16" ht="15" customHeight="1" x14ac:dyDescent="0.2">
      <c r="A29" s="57">
        <v>24</v>
      </c>
      <c r="B29" s="58" t="s">
        <v>213</v>
      </c>
      <c r="C29" s="174">
        <v>797</v>
      </c>
      <c r="D29" s="174">
        <v>899</v>
      </c>
      <c r="E29" s="174">
        <v>7693</v>
      </c>
      <c r="F29" s="174">
        <v>5579</v>
      </c>
      <c r="G29" s="174">
        <v>0</v>
      </c>
      <c r="H29" s="174">
        <v>0</v>
      </c>
      <c r="I29" s="174">
        <v>1592</v>
      </c>
      <c r="J29" s="174">
        <v>2474</v>
      </c>
      <c r="K29" s="174">
        <v>0</v>
      </c>
      <c r="L29" s="174">
        <v>0</v>
      </c>
      <c r="M29" s="174">
        <v>15132</v>
      </c>
      <c r="N29" s="174">
        <v>10460</v>
      </c>
      <c r="O29" s="174">
        <f t="shared" si="0"/>
        <v>25214</v>
      </c>
      <c r="P29" s="174">
        <f t="shared" si="1"/>
        <v>19412</v>
      </c>
    </row>
    <row r="30" spans="1:16" ht="15" customHeight="1" x14ac:dyDescent="0.2">
      <c r="A30" s="57">
        <v>25</v>
      </c>
      <c r="B30" s="58" t="s">
        <v>66</v>
      </c>
      <c r="C30" s="174">
        <v>306</v>
      </c>
      <c r="D30" s="174">
        <v>1415</v>
      </c>
      <c r="E30" s="174">
        <v>7314</v>
      </c>
      <c r="F30" s="174">
        <v>12785</v>
      </c>
      <c r="G30" s="174">
        <v>74</v>
      </c>
      <c r="H30" s="174">
        <v>116</v>
      </c>
      <c r="I30" s="174">
        <v>427</v>
      </c>
      <c r="J30" s="174">
        <v>4978</v>
      </c>
      <c r="K30" s="174">
        <v>2</v>
      </c>
      <c r="L30" s="174">
        <v>1</v>
      </c>
      <c r="M30" s="174">
        <v>1748</v>
      </c>
      <c r="N30" s="174">
        <v>19308</v>
      </c>
      <c r="O30" s="174">
        <f t="shared" si="0"/>
        <v>9871</v>
      </c>
      <c r="P30" s="174">
        <f t="shared" si="1"/>
        <v>38603</v>
      </c>
    </row>
    <row r="31" spans="1:16" ht="15" customHeight="1" x14ac:dyDescent="0.2">
      <c r="A31" s="57">
        <v>26</v>
      </c>
      <c r="B31" s="182" t="s">
        <v>67</v>
      </c>
      <c r="C31" s="174">
        <v>1</v>
      </c>
      <c r="D31" s="174">
        <v>2</v>
      </c>
      <c r="E31" s="174">
        <v>152</v>
      </c>
      <c r="F31" s="174">
        <v>560</v>
      </c>
      <c r="G31" s="174">
        <v>0</v>
      </c>
      <c r="H31" s="174">
        <v>0</v>
      </c>
      <c r="I31" s="174">
        <v>2</v>
      </c>
      <c r="J31" s="174">
        <v>4</v>
      </c>
      <c r="K31" s="174">
        <v>0</v>
      </c>
      <c r="L31" s="174">
        <v>0</v>
      </c>
      <c r="M31" s="174">
        <v>0</v>
      </c>
      <c r="N31" s="174">
        <v>0</v>
      </c>
      <c r="O31" s="174">
        <f t="shared" si="0"/>
        <v>155</v>
      </c>
      <c r="P31" s="174">
        <f t="shared" si="1"/>
        <v>566</v>
      </c>
    </row>
    <row r="32" spans="1:16" ht="15" customHeight="1" x14ac:dyDescent="0.2">
      <c r="A32" s="57">
        <v>27</v>
      </c>
      <c r="B32" s="58" t="s">
        <v>50</v>
      </c>
      <c r="C32" s="174">
        <v>276</v>
      </c>
      <c r="D32" s="174">
        <v>806</v>
      </c>
      <c r="E32" s="174">
        <v>1120</v>
      </c>
      <c r="F32" s="174">
        <v>2293</v>
      </c>
      <c r="G32" s="174">
        <v>10</v>
      </c>
      <c r="H32" s="174">
        <v>0.89</v>
      </c>
      <c r="I32" s="174">
        <v>339</v>
      </c>
      <c r="J32" s="174">
        <v>1522.59</v>
      </c>
      <c r="K32" s="174">
        <v>1</v>
      </c>
      <c r="L32" s="174">
        <v>1.52</v>
      </c>
      <c r="M32" s="174">
        <v>801</v>
      </c>
      <c r="N32" s="174">
        <v>3917</v>
      </c>
      <c r="O32" s="174">
        <f t="shared" si="0"/>
        <v>2547</v>
      </c>
      <c r="P32" s="174">
        <f t="shared" si="1"/>
        <v>8541</v>
      </c>
    </row>
    <row r="33" spans="1:16" s="286" customFormat="1" ht="15" customHeight="1" x14ac:dyDescent="0.2">
      <c r="A33" s="283" t="s">
        <v>348</v>
      </c>
      <c r="B33" s="60" t="s">
        <v>288</v>
      </c>
      <c r="C33" s="176">
        <f>SUM(C6:C32)</f>
        <v>20969</v>
      </c>
      <c r="D33" s="176">
        <f t="shared" ref="D33:N33" si="2">SUM(D6:D32)</f>
        <v>34488.54</v>
      </c>
      <c r="E33" s="176">
        <f t="shared" si="2"/>
        <v>158159</v>
      </c>
      <c r="F33" s="176">
        <f t="shared" si="2"/>
        <v>273590.36</v>
      </c>
      <c r="G33" s="176">
        <f t="shared" si="2"/>
        <v>6317</v>
      </c>
      <c r="H33" s="176">
        <f t="shared" si="2"/>
        <v>7286.2</v>
      </c>
      <c r="I33" s="176">
        <f t="shared" si="2"/>
        <v>33353</v>
      </c>
      <c r="J33" s="176">
        <f t="shared" si="2"/>
        <v>127711.02</v>
      </c>
      <c r="K33" s="176">
        <f t="shared" si="2"/>
        <v>541</v>
      </c>
      <c r="L33" s="176">
        <f t="shared" si="2"/>
        <v>4262.5200000000004</v>
      </c>
      <c r="M33" s="176">
        <f t="shared" si="2"/>
        <v>49986</v>
      </c>
      <c r="N33" s="176">
        <f t="shared" si="2"/>
        <v>172680.15</v>
      </c>
      <c r="O33" s="176">
        <f t="shared" ref="O33" si="3">SUM(O6:O32)</f>
        <v>269325</v>
      </c>
      <c r="P33" s="176">
        <f t="shared" ref="P33" si="4">SUM(P6:P32)</f>
        <v>620018.79</v>
      </c>
    </row>
    <row r="34" spans="1:16" ht="15" customHeight="1" x14ac:dyDescent="0.2">
      <c r="A34" s="57">
        <v>28</v>
      </c>
      <c r="B34" s="58" t="s">
        <v>47</v>
      </c>
      <c r="C34" s="174">
        <v>74</v>
      </c>
      <c r="D34" s="174">
        <v>487.7</v>
      </c>
      <c r="E34" s="174">
        <v>3954</v>
      </c>
      <c r="F34" s="174">
        <v>5211.17</v>
      </c>
      <c r="G34" s="174">
        <v>2</v>
      </c>
      <c r="H34" s="174">
        <v>13.32</v>
      </c>
      <c r="I34" s="174">
        <v>394</v>
      </c>
      <c r="J34" s="174">
        <v>2582.0300000000002</v>
      </c>
      <c r="K34" s="174">
        <v>0</v>
      </c>
      <c r="L34" s="174">
        <v>0</v>
      </c>
      <c r="M34" s="174">
        <v>0</v>
      </c>
      <c r="N34" s="174">
        <v>0</v>
      </c>
      <c r="O34" s="174">
        <f t="shared" si="0"/>
        <v>4424</v>
      </c>
      <c r="P34" s="174">
        <f t="shared" si="1"/>
        <v>8294.2199999999993</v>
      </c>
    </row>
    <row r="35" spans="1:16" ht="15" customHeight="1" x14ac:dyDescent="0.2">
      <c r="A35" s="57">
        <v>29</v>
      </c>
      <c r="B35" s="58" t="s">
        <v>215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f t="shared" si="0"/>
        <v>0</v>
      </c>
      <c r="P35" s="174">
        <f t="shared" si="1"/>
        <v>0</v>
      </c>
    </row>
    <row r="36" spans="1:16" ht="15" customHeight="1" x14ac:dyDescent="0.2">
      <c r="A36" s="57">
        <v>30</v>
      </c>
      <c r="B36" s="58" t="s">
        <v>216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f t="shared" si="0"/>
        <v>0</v>
      </c>
      <c r="P36" s="174">
        <f t="shared" si="1"/>
        <v>0</v>
      </c>
    </row>
    <row r="37" spans="1:16" ht="15" customHeight="1" x14ac:dyDescent="0.2">
      <c r="A37" s="57">
        <v>31</v>
      </c>
      <c r="B37" s="58" t="s">
        <v>78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f t="shared" si="0"/>
        <v>0</v>
      </c>
      <c r="P37" s="174">
        <f t="shared" si="1"/>
        <v>0</v>
      </c>
    </row>
    <row r="38" spans="1:16" ht="15" customHeight="1" x14ac:dyDescent="0.2">
      <c r="A38" s="57">
        <v>32</v>
      </c>
      <c r="B38" s="58" t="s">
        <v>51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f t="shared" si="0"/>
        <v>0</v>
      </c>
      <c r="P38" s="174">
        <f t="shared" si="1"/>
        <v>0</v>
      </c>
    </row>
    <row r="39" spans="1:16" ht="15" customHeight="1" x14ac:dyDescent="0.2">
      <c r="A39" s="57">
        <v>33</v>
      </c>
      <c r="B39" s="58" t="s">
        <v>217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f t="shared" si="0"/>
        <v>0</v>
      </c>
      <c r="P39" s="174">
        <f t="shared" si="1"/>
        <v>0</v>
      </c>
    </row>
    <row r="40" spans="1:16" ht="15" customHeight="1" x14ac:dyDescent="0.2">
      <c r="A40" s="57">
        <v>34</v>
      </c>
      <c r="B40" s="58" t="s">
        <v>218</v>
      </c>
      <c r="C40" s="174">
        <v>2</v>
      </c>
      <c r="D40" s="174">
        <v>5.26</v>
      </c>
      <c r="E40" s="174">
        <v>2</v>
      </c>
      <c r="F40" s="174">
        <v>0.45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f t="shared" si="0"/>
        <v>4</v>
      </c>
      <c r="P40" s="174">
        <f t="shared" si="1"/>
        <v>5.71</v>
      </c>
    </row>
    <row r="41" spans="1:16" ht="15" customHeight="1" x14ac:dyDescent="0.2">
      <c r="A41" s="57">
        <v>35</v>
      </c>
      <c r="B41" s="58" t="s">
        <v>219</v>
      </c>
      <c r="C41" s="174">
        <v>64</v>
      </c>
      <c r="D41" s="174">
        <v>591.91</v>
      </c>
      <c r="E41" s="174">
        <v>78</v>
      </c>
      <c r="F41" s="174">
        <v>189.57</v>
      </c>
      <c r="G41" s="174">
        <v>0</v>
      </c>
      <c r="H41" s="174">
        <v>0</v>
      </c>
      <c r="I41" s="174">
        <v>18</v>
      </c>
      <c r="J41" s="174">
        <v>48.48</v>
      </c>
      <c r="K41" s="174">
        <v>2</v>
      </c>
      <c r="L41" s="174">
        <v>5.95</v>
      </c>
      <c r="M41" s="174">
        <v>0</v>
      </c>
      <c r="N41" s="174">
        <v>0</v>
      </c>
      <c r="O41" s="174">
        <f t="shared" si="0"/>
        <v>162</v>
      </c>
      <c r="P41" s="174">
        <f t="shared" si="1"/>
        <v>835.91000000000008</v>
      </c>
    </row>
    <row r="42" spans="1:16" ht="15" customHeight="1" x14ac:dyDescent="0.2">
      <c r="A42" s="57">
        <v>36</v>
      </c>
      <c r="B42" s="58" t="s">
        <v>71</v>
      </c>
      <c r="C42" s="174">
        <v>226</v>
      </c>
      <c r="D42" s="174">
        <v>172</v>
      </c>
      <c r="E42" s="174">
        <v>17272</v>
      </c>
      <c r="F42" s="174">
        <v>15388</v>
      </c>
      <c r="G42" s="174">
        <v>6</v>
      </c>
      <c r="H42" s="174">
        <v>1</v>
      </c>
      <c r="I42" s="174">
        <v>954</v>
      </c>
      <c r="J42" s="174">
        <v>3780</v>
      </c>
      <c r="K42" s="174">
        <v>4</v>
      </c>
      <c r="L42" s="174">
        <v>0.89</v>
      </c>
      <c r="M42" s="174">
        <v>360</v>
      </c>
      <c r="N42" s="174">
        <v>1498</v>
      </c>
      <c r="O42" s="174">
        <f t="shared" si="0"/>
        <v>18822</v>
      </c>
      <c r="P42" s="174">
        <f t="shared" si="1"/>
        <v>20839.89</v>
      </c>
    </row>
    <row r="43" spans="1:16" ht="15" customHeight="1" x14ac:dyDescent="0.2">
      <c r="A43" s="57">
        <v>37</v>
      </c>
      <c r="B43" s="58" t="s">
        <v>72</v>
      </c>
      <c r="C43" s="208">
        <v>344</v>
      </c>
      <c r="D43" s="292">
        <v>1278</v>
      </c>
      <c r="E43" s="208">
        <v>7206</v>
      </c>
      <c r="F43" s="208">
        <v>18884</v>
      </c>
      <c r="G43" s="208">
        <v>90</v>
      </c>
      <c r="H43" s="292">
        <v>219</v>
      </c>
      <c r="I43" s="208">
        <v>1255</v>
      </c>
      <c r="J43" s="208">
        <v>8093</v>
      </c>
      <c r="K43" s="208">
        <v>171</v>
      </c>
      <c r="L43" s="292">
        <v>253</v>
      </c>
      <c r="M43" s="208">
        <v>350</v>
      </c>
      <c r="N43" s="208">
        <v>3142</v>
      </c>
      <c r="O43" s="174">
        <f t="shared" si="0"/>
        <v>9416</v>
      </c>
      <c r="P43" s="174">
        <f t="shared" si="1"/>
        <v>31869</v>
      </c>
    </row>
    <row r="44" spans="1:16" ht="15" customHeight="1" x14ac:dyDescent="0.2">
      <c r="A44" s="57">
        <v>38</v>
      </c>
      <c r="B44" s="58" t="s">
        <v>220</v>
      </c>
      <c r="C44" s="174">
        <v>167</v>
      </c>
      <c r="D44" s="174">
        <v>9</v>
      </c>
      <c r="E44" s="174">
        <v>8451</v>
      </c>
      <c r="F44" s="174">
        <v>746</v>
      </c>
      <c r="G44" s="174">
        <v>1</v>
      </c>
      <c r="H44" s="174">
        <v>0.11</v>
      </c>
      <c r="I44" s="174">
        <v>80</v>
      </c>
      <c r="J44" s="174">
        <v>17</v>
      </c>
      <c r="K44" s="174">
        <v>1</v>
      </c>
      <c r="L44" s="174">
        <v>0.2</v>
      </c>
      <c r="M44" s="174">
        <v>22</v>
      </c>
      <c r="N44" s="174">
        <v>11</v>
      </c>
      <c r="O44" s="174">
        <f t="shared" si="0"/>
        <v>8722</v>
      </c>
      <c r="P44" s="174">
        <f t="shared" si="1"/>
        <v>783.31000000000006</v>
      </c>
    </row>
    <row r="45" spans="1:16" ht="15" customHeight="1" x14ac:dyDescent="0.2">
      <c r="A45" s="57">
        <v>39</v>
      </c>
      <c r="B45" s="58" t="s">
        <v>221</v>
      </c>
      <c r="C45" s="174">
        <v>85</v>
      </c>
      <c r="D45" s="174">
        <v>107</v>
      </c>
      <c r="E45" s="174">
        <v>5962</v>
      </c>
      <c r="F45" s="174">
        <v>10876</v>
      </c>
      <c r="G45" s="174">
        <v>6</v>
      </c>
      <c r="H45" s="174">
        <v>1</v>
      </c>
      <c r="I45" s="174">
        <v>228</v>
      </c>
      <c r="J45" s="174">
        <v>866</v>
      </c>
      <c r="K45" s="174">
        <v>0</v>
      </c>
      <c r="L45" s="174">
        <v>0</v>
      </c>
      <c r="M45" s="174">
        <v>580</v>
      </c>
      <c r="N45" s="174">
        <v>1980</v>
      </c>
      <c r="O45" s="174">
        <f t="shared" si="0"/>
        <v>6861</v>
      </c>
      <c r="P45" s="174">
        <f t="shared" si="1"/>
        <v>13830</v>
      </c>
    </row>
    <row r="46" spans="1:16" ht="15" customHeight="1" x14ac:dyDescent="0.2">
      <c r="A46" s="57">
        <v>40</v>
      </c>
      <c r="B46" s="58" t="s">
        <v>222</v>
      </c>
      <c r="C46" s="174">
        <v>0</v>
      </c>
      <c r="D46" s="174">
        <v>0</v>
      </c>
      <c r="E46" s="174">
        <v>70</v>
      </c>
      <c r="F46" s="174">
        <v>381</v>
      </c>
      <c r="G46" s="174">
        <v>4</v>
      </c>
      <c r="H46" s="174">
        <v>71</v>
      </c>
      <c r="I46" s="174">
        <v>0</v>
      </c>
      <c r="J46" s="174">
        <v>0</v>
      </c>
      <c r="K46" s="174">
        <v>0</v>
      </c>
      <c r="L46" s="174">
        <v>0</v>
      </c>
      <c r="M46" s="174">
        <v>6</v>
      </c>
      <c r="N46" s="174">
        <v>72</v>
      </c>
      <c r="O46" s="174">
        <f t="shared" si="0"/>
        <v>80</v>
      </c>
      <c r="P46" s="174">
        <f t="shared" si="1"/>
        <v>524</v>
      </c>
    </row>
    <row r="47" spans="1:16" ht="15" customHeight="1" x14ac:dyDescent="0.2">
      <c r="A47" s="57">
        <v>41</v>
      </c>
      <c r="B47" s="58" t="s">
        <v>223</v>
      </c>
      <c r="C47" s="174">
        <v>5</v>
      </c>
      <c r="D47" s="174">
        <v>65.13</v>
      </c>
      <c r="E47" s="174">
        <v>42</v>
      </c>
      <c r="F47" s="174">
        <v>319.01</v>
      </c>
      <c r="G47" s="174">
        <v>0</v>
      </c>
      <c r="H47" s="174">
        <v>0</v>
      </c>
      <c r="I47" s="174">
        <v>11</v>
      </c>
      <c r="J47" s="174">
        <v>72.22</v>
      </c>
      <c r="K47" s="174">
        <v>0</v>
      </c>
      <c r="L47" s="174">
        <v>0</v>
      </c>
      <c r="M47" s="174">
        <v>19</v>
      </c>
      <c r="N47" s="174">
        <v>81.319999999999993</v>
      </c>
      <c r="O47" s="174">
        <f t="shared" si="0"/>
        <v>77</v>
      </c>
      <c r="P47" s="174">
        <f t="shared" si="1"/>
        <v>537.68000000000006</v>
      </c>
    </row>
    <row r="48" spans="1:16" ht="15" customHeight="1" x14ac:dyDescent="0.2">
      <c r="A48" s="57">
        <v>42</v>
      </c>
      <c r="B48" s="58" t="s">
        <v>224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f t="shared" si="0"/>
        <v>0</v>
      </c>
      <c r="P48" s="174">
        <f t="shared" si="1"/>
        <v>0</v>
      </c>
    </row>
    <row r="49" spans="1:16" ht="15" customHeight="1" x14ac:dyDescent="0.2">
      <c r="A49" s="57">
        <v>43</v>
      </c>
      <c r="B49" s="58" t="s">
        <v>73</v>
      </c>
      <c r="C49" s="174">
        <v>26</v>
      </c>
      <c r="D49" s="174">
        <v>83</v>
      </c>
      <c r="E49" s="174">
        <v>1376</v>
      </c>
      <c r="F49" s="174">
        <v>4172</v>
      </c>
      <c r="G49" s="174">
        <v>31</v>
      </c>
      <c r="H49" s="174">
        <v>72</v>
      </c>
      <c r="I49" s="174">
        <v>346</v>
      </c>
      <c r="J49" s="174">
        <v>3843</v>
      </c>
      <c r="K49" s="174">
        <v>2</v>
      </c>
      <c r="L49" s="174">
        <v>8</v>
      </c>
      <c r="M49" s="174">
        <v>271</v>
      </c>
      <c r="N49" s="174">
        <v>6284</v>
      </c>
      <c r="O49" s="174">
        <f t="shared" si="0"/>
        <v>2052</v>
      </c>
      <c r="P49" s="174">
        <f t="shared" si="1"/>
        <v>14462</v>
      </c>
    </row>
    <row r="50" spans="1:16" ht="15" customHeight="1" x14ac:dyDescent="0.2">
      <c r="A50" s="57">
        <v>44</v>
      </c>
      <c r="B50" s="58" t="s">
        <v>225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f t="shared" si="0"/>
        <v>0</v>
      </c>
      <c r="P50" s="174">
        <f t="shared" si="1"/>
        <v>0</v>
      </c>
    </row>
    <row r="51" spans="1:16" ht="15" customHeight="1" x14ac:dyDescent="0.2">
      <c r="A51" s="57">
        <v>45</v>
      </c>
      <c r="B51" s="58" t="s">
        <v>226</v>
      </c>
      <c r="C51" s="174">
        <v>8</v>
      </c>
      <c r="D51" s="174">
        <v>1</v>
      </c>
      <c r="E51" s="174">
        <v>5114</v>
      </c>
      <c r="F51" s="174">
        <v>661</v>
      </c>
      <c r="G51" s="174">
        <v>19</v>
      </c>
      <c r="H51" s="174">
        <v>2</v>
      </c>
      <c r="I51" s="174">
        <v>14</v>
      </c>
      <c r="J51" s="174">
        <v>2</v>
      </c>
      <c r="K51" s="174">
        <v>2</v>
      </c>
      <c r="L51" s="174">
        <v>1</v>
      </c>
      <c r="M51" s="174">
        <v>0</v>
      </c>
      <c r="N51" s="174">
        <v>0</v>
      </c>
      <c r="O51" s="174">
        <f t="shared" si="0"/>
        <v>5157</v>
      </c>
      <c r="P51" s="174">
        <f t="shared" si="1"/>
        <v>667</v>
      </c>
    </row>
    <row r="52" spans="1:16" ht="15" customHeight="1" x14ac:dyDescent="0.2">
      <c r="A52" s="57">
        <v>46</v>
      </c>
      <c r="B52" s="58" t="s">
        <v>227</v>
      </c>
      <c r="C52" s="174">
        <v>3</v>
      </c>
      <c r="D52" s="174">
        <v>20</v>
      </c>
      <c r="E52" s="174">
        <v>2</v>
      </c>
      <c r="F52" s="174">
        <v>17</v>
      </c>
      <c r="G52" s="174">
        <v>1</v>
      </c>
      <c r="H52" s="174">
        <v>5</v>
      </c>
      <c r="I52" s="174">
        <v>3</v>
      </c>
      <c r="J52" s="174">
        <v>6</v>
      </c>
      <c r="K52" s="174">
        <v>0</v>
      </c>
      <c r="L52" s="174">
        <v>0</v>
      </c>
      <c r="M52" s="174">
        <v>0</v>
      </c>
      <c r="N52" s="174">
        <v>0</v>
      </c>
      <c r="O52" s="174">
        <f t="shared" si="0"/>
        <v>9</v>
      </c>
      <c r="P52" s="174">
        <f t="shared" si="1"/>
        <v>48</v>
      </c>
    </row>
    <row r="53" spans="1:16" ht="15" customHeight="1" x14ac:dyDescent="0.2">
      <c r="A53" s="57">
        <v>47</v>
      </c>
      <c r="B53" s="58" t="s">
        <v>77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f t="shared" si="0"/>
        <v>0</v>
      </c>
      <c r="P53" s="174">
        <f t="shared" si="1"/>
        <v>0</v>
      </c>
    </row>
    <row r="54" spans="1:16" ht="15" customHeight="1" x14ac:dyDescent="0.2">
      <c r="A54" s="57">
        <v>48</v>
      </c>
      <c r="B54" s="58" t="s">
        <v>228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f t="shared" si="0"/>
        <v>0</v>
      </c>
      <c r="P54" s="174">
        <f t="shared" si="1"/>
        <v>0</v>
      </c>
    </row>
    <row r="55" spans="1:16" ht="15" customHeight="1" x14ac:dyDescent="0.2">
      <c r="A55" s="57">
        <v>49</v>
      </c>
      <c r="B55" s="58" t="s">
        <v>76</v>
      </c>
      <c r="C55" s="174">
        <v>0</v>
      </c>
      <c r="D55" s="174">
        <v>0</v>
      </c>
      <c r="E55" s="174">
        <v>10</v>
      </c>
      <c r="F55" s="174">
        <v>328</v>
      </c>
      <c r="G55" s="174">
        <v>0</v>
      </c>
      <c r="H55" s="174">
        <v>0</v>
      </c>
      <c r="I55" s="174">
        <v>1</v>
      </c>
      <c r="J55" s="174">
        <v>30.11</v>
      </c>
      <c r="K55" s="174">
        <v>0</v>
      </c>
      <c r="L55" s="174">
        <v>0</v>
      </c>
      <c r="M55" s="174">
        <v>23</v>
      </c>
      <c r="N55" s="174">
        <v>1916</v>
      </c>
      <c r="O55" s="174">
        <f t="shared" si="0"/>
        <v>34</v>
      </c>
      <c r="P55" s="174">
        <f t="shared" si="1"/>
        <v>2274.11</v>
      </c>
    </row>
    <row r="56" spans="1:16" s="286" customFormat="1" ht="15" customHeight="1" x14ac:dyDescent="0.2">
      <c r="A56" s="60" t="s">
        <v>348</v>
      </c>
      <c r="B56" s="60" t="s">
        <v>289</v>
      </c>
      <c r="C56" s="176">
        <f>SUM(C34:C55)</f>
        <v>1004</v>
      </c>
      <c r="D56" s="176">
        <f t="shared" ref="D56:N56" si="5">SUM(D34:D55)</f>
        <v>2820</v>
      </c>
      <c r="E56" s="176">
        <f t="shared" si="5"/>
        <v>49539</v>
      </c>
      <c r="F56" s="176">
        <f t="shared" si="5"/>
        <v>57173.200000000004</v>
      </c>
      <c r="G56" s="176">
        <f t="shared" si="5"/>
        <v>160</v>
      </c>
      <c r="H56" s="176">
        <f t="shared" si="5"/>
        <v>384.43</v>
      </c>
      <c r="I56" s="176">
        <f t="shared" si="5"/>
        <v>3304</v>
      </c>
      <c r="J56" s="176">
        <f t="shared" si="5"/>
        <v>19339.84</v>
      </c>
      <c r="K56" s="176">
        <f t="shared" si="5"/>
        <v>182</v>
      </c>
      <c r="L56" s="176">
        <f t="shared" si="5"/>
        <v>269.03999999999996</v>
      </c>
      <c r="M56" s="176">
        <f t="shared" si="5"/>
        <v>1631</v>
      </c>
      <c r="N56" s="176">
        <f t="shared" si="5"/>
        <v>14984.32</v>
      </c>
      <c r="O56" s="176">
        <f t="shared" ref="O56" si="6">SUM(O34:O55)</f>
        <v>55820</v>
      </c>
      <c r="P56" s="176">
        <f t="shared" ref="P56" si="7">SUM(P34:P55)</f>
        <v>94970.829999999987</v>
      </c>
    </row>
    <row r="57" spans="1:16" ht="15" customHeight="1" x14ac:dyDescent="0.2">
      <c r="A57" s="57">
        <v>50</v>
      </c>
      <c r="B57" s="58" t="s">
        <v>46</v>
      </c>
      <c r="C57" s="174">
        <v>1462</v>
      </c>
      <c r="D57" s="174">
        <v>630</v>
      </c>
      <c r="E57" s="174">
        <v>21941</v>
      </c>
      <c r="F57" s="174">
        <v>7908</v>
      </c>
      <c r="G57" s="174">
        <v>522</v>
      </c>
      <c r="H57" s="174">
        <v>320</v>
      </c>
      <c r="I57" s="174">
        <v>1897</v>
      </c>
      <c r="J57" s="174">
        <v>554</v>
      </c>
      <c r="K57" s="174">
        <v>0</v>
      </c>
      <c r="L57" s="174">
        <v>0</v>
      </c>
      <c r="M57" s="174">
        <v>8122</v>
      </c>
      <c r="N57" s="174">
        <v>15401</v>
      </c>
      <c r="O57" s="174">
        <f t="shared" si="0"/>
        <v>33944</v>
      </c>
      <c r="P57" s="174">
        <f t="shared" si="1"/>
        <v>24813</v>
      </c>
    </row>
    <row r="58" spans="1:16" ht="15" customHeight="1" x14ac:dyDescent="0.2">
      <c r="A58" s="57">
        <v>51</v>
      </c>
      <c r="B58" s="58" t="s">
        <v>229</v>
      </c>
      <c r="C58" s="174">
        <v>119</v>
      </c>
      <c r="D58" s="174">
        <v>67</v>
      </c>
      <c r="E58" s="174">
        <v>11089</v>
      </c>
      <c r="F58" s="174">
        <v>4264</v>
      </c>
      <c r="G58" s="174">
        <v>0</v>
      </c>
      <c r="H58" s="174">
        <v>0</v>
      </c>
      <c r="I58" s="174">
        <v>854</v>
      </c>
      <c r="J58" s="174">
        <v>526</v>
      </c>
      <c r="K58" s="174">
        <v>0</v>
      </c>
      <c r="L58" s="174">
        <v>0</v>
      </c>
      <c r="M58" s="174">
        <v>26007</v>
      </c>
      <c r="N58" s="174">
        <v>7603</v>
      </c>
      <c r="O58" s="174">
        <f t="shared" si="0"/>
        <v>38069</v>
      </c>
      <c r="P58" s="174">
        <f t="shared" si="1"/>
        <v>12460</v>
      </c>
    </row>
    <row r="59" spans="1:16" ht="15" customHeight="1" x14ac:dyDescent="0.2">
      <c r="A59" s="57">
        <v>52</v>
      </c>
      <c r="B59" s="58" t="s">
        <v>52</v>
      </c>
      <c r="C59" s="174">
        <v>881</v>
      </c>
      <c r="D59" s="174">
        <v>856</v>
      </c>
      <c r="E59" s="174">
        <v>16881</v>
      </c>
      <c r="F59" s="174">
        <v>9708.25</v>
      </c>
      <c r="G59" s="174">
        <v>0</v>
      </c>
      <c r="H59" s="174">
        <v>0</v>
      </c>
      <c r="I59" s="174">
        <v>994</v>
      </c>
      <c r="J59" s="174">
        <v>978</v>
      </c>
      <c r="K59" s="174">
        <v>0</v>
      </c>
      <c r="L59" s="174">
        <v>0</v>
      </c>
      <c r="M59" s="174">
        <v>3003</v>
      </c>
      <c r="N59" s="174">
        <v>3133.12</v>
      </c>
      <c r="O59" s="174">
        <f t="shared" si="0"/>
        <v>21759</v>
      </c>
      <c r="P59" s="174">
        <f t="shared" si="1"/>
        <v>14675.369999999999</v>
      </c>
    </row>
    <row r="60" spans="1:16" s="286" customFormat="1" ht="15" customHeight="1" x14ac:dyDescent="0.2">
      <c r="A60" s="281" t="s">
        <v>348</v>
      </c>
      <c r="B60" s="282" t="s">
        <v>295</v>
      </c>
      <c r="C60" s="176">
        <f>SUM(C57:C59)</f>
        <v>2462</v>
      </c>
      <c r="D60" s="176">
        <f t="shared" ref="D60:N60" si="8">SUM(D57:D59)</f>
        <v>1553</v>
      </c>
      <c r="E60" s="176">
        <f t="shared" si="8"/>
        <v>49911</v>
      </c>
      <c r="F60" s="176">
        <f t="shared" si="8"/>
        <v>21880.25</v>
      </c>
      <c r="G60" s="176">
        <f t="shared" si="8"/>
        <v>522</v>
      </c>
      <c r="H60" s="176">
        <f t="shared" si="8"/>
        <v>320</v>
      </c>
      <c r="I60" s="176">
        <f t="shared" si="8"/>
        <v>3745</v>
      </c>
      <c r="J60" s="176">
        <f t="shared" si="8"/>
        <v>2058</v>
      </c>
      <c r="K60" s="176">
        <f t="shared" si="8"/>
        <v>0</v>
      </c>
      <c r="L60" s="176">
        <f t="shared" si="8"/>
        <v>0</v>
      </c>
      <c r="M60" s="176">
        <f t="shared" si="8"/>
        <v>37132</v>
      </c>
      <c r="N60" s="176">
        <f t="shared" si="8"/>
        <v>26137.119999999999</v>
      </c>
      <c r="O60" s="176">
        <f t="shared" ref="O60" si="9">SUM(O57:O59)</f>
        <v>93772</v>
      </c>
      <c r="P60" s="176">
        <f t="shared" ref="P60" si="10">SUM(P57:P59)</f>
        <v>51948.369999999995</v>
      </c>
    </row>
    <row r="61" spans="1:16" ht="15" customHeight="1" x14ac:dyDescent="0.2">
      <c r="A61" s="278">
        <v>53</v>
      </c>
      <c r="B61" s="279" t="s">
        <v>290</v>
      </c>
      <c r="C61" s="174">
        <v>985</v>
      </c>
      <c r="D61" s="174">
        <v>183.27</v>
      </c>
      <c r="E61" s="174">
        <v>40282</v>
      </c>
      <c r="F61" s="174">
        <v>15733.64</v>
      </c>
      <c r="G61" s="174">
        <v>1717</v>
      </c>
      <c r="H61" s="174">
        <v>402.35</v>
      </c>
      <c r="I61" s="174">
        <v>1859</v>
      </c>
      <c r="J61" s="174">
        <v>899.49</v>
      </c>
      <c r="K61" s="174">
        <v>0</v>
      </c>
      <c r="L61" s="174">
        <v>0</v>
      </c>
      <c r="M61" s="174">
        <v>7815</v>
      </c>
      <c r="N61" s="174">
        <v>3840.18</v>
      </c>
      <c r="O61" s="174">
        <f t="shared" si="0"/>
        <v>52658</v>
      </c>
      <c r="P61" s="174">
        <f t="shared" si="1"/>
        <v>21058.93</v>
      </c>
    </row>
    <row r="62" spans="1:16" s="286" customFormat="1" ht="15" customHeight="1" x14ac:dyDescent="0.2">
      <c r="A62" s="281" t="s">
        <v>348</v>
      </c>
      <c r="B62" s="282" t="s">
        <v>291</v>
      </c>
      <c r="C62" s="176">
        <f>C61</f>
        <v>985</v>
      </c>
      <c r="D62" s="176">
        <f t="shared" ref="D62:N62" si="11">D61</f>
        <v>183.27</v>
      </c>
      <c r="E62" s="176">
        <f t="shared" si="11"/>
        <v>40282</v>
      </c>
      <c r="F62" s="176">
        <f t="shared" si="11"/>
        <v>15733.64</v>
      </c>
      <c r="G62" s="176">
        <f t="shared" si="11"/>
        <v>1717</v>
      </c>
      <c r="H62" s="176">
        <f t="shared" si="11"/>
        <v>402.35</v>
      </c>
      <c r="I62" s="176">
        <f t="shared" si="11"/>
        <v>1859</v>
      </c>
      <c r="J62" s="176">
        <f t="shared" si="11"/>
        <v>899.49</v>
      </c>
      <c r="K62" s="176">
        <f t="shared" si="11"/>
        <v>0</v>
      </c>
      <c r="L62" s="176">
        <f t="shared" si="11"/>
        <v>0</v>
      </c>
      <c r="M62" s="176">
        <f t="shared" si="11"/>
        <v>7815</v>
      </c>
      <c r="N62" s="176">
        <f t="shared" si="11"/>
        <v>3840.18</v>
      </c>
      <c r="O62" s="176">
        <f t="shared" ref="O62" si="12">O61</f>
        <v>52658</v>
      </c>
      <c r="P62" s="176">
        <f t="shared" ref="P62" si="13">P61</f>
        <v>21058.93</v>
      </c>
    </row>
    <row r="63" spans="1:16" s="286" customFormat="1" ht="15" customHeight="1" x14ac:dyDescent="0.2">
      <c r="A63" s="281" t="s">
        <v>348</v>
      </c>
      <c r="B63" s="282" t="s">
        <v>292</v>
      </c>
      <c r="C63" s="176">
        <f>C62+C60+C56+C33</f>
        <v>25420</v>
      </c>
      <c r="D63" s="176">
        <f t="shared" ref="D63:N63" si="14">D62+D60+D56+D33</f>
        <v>39044.81</v>
      </c>
      <c r="E63" s="176">
        <f t="shared" si="14"/>
        <v>297891</v>
      </c>
      <c r="F63" s="176">
        <f t="shared" si="14"/>
        <v>368377.44999999995</v>
      </c>
      <c r="G63" s="176">
        <f t="shared" si="14"/>
        <v>8716</v>
      </c>
      <c r="H63" s="176">
        <f t="shared" si="14"/>
        <v>8392.98</v>
      </c>
      <c r="I63" s="176">
        <f t="shared" si="14"/>
        <v>42261</v>
      </c>
      <c r="J63" s="176">
        <f t="shared" si="14"/>
        <v>150008.35</v>
      </c>
      <c r="K63" s="176">
        <f t="shared" si="14"/>
        <v>723</v>
      </c>
      <c r="L63" s="176">
        <f t="shared" si="14"/>
        <v>4531.5600000000004</v>
      </c>
      <c r="M63" s="176">
        <f t="shared" si="14"/>
        <v>96564</v>
      </c>
      <c r="N63" s="176">
        <f t="shared" si="14"/>
        <v>217641.77</v>
      </c>
      <c r="O63" s="176">
        <f t="shared" ref="O63" si="15">O62+O60+O56+O33</f>
        <v>471575</v>
      </c>
      <c r="P63" s="176">
        <f t="shared" ref="P63" si="16">P62+P60+P56+P33</f>
        <v>787996.92</v>
      </c>
    </row>
    <row r="65" spans="3:3" x14ac:dyDescent="0.2">
      <c r="C65" s="419" t="s">
        <v>1232</v>
      </c>
    </row>
  </sheetData>
  <mergeCells count="12">
    <mergeCell ref="K4:L4"/>
    <mergeCell ref="M4:N4"/>
    <mergeCell ref="O4:P4"/>
    <mergeCell ref="A1:P1"/>
    <mergeCell ref="B3:D3"/>
    <mergeCell ref="M3:N3"/>
    <mergeCell ref="A4:A5"/>
    <mergeCell ref="B4:B5"/>
    <mergeCell ref="C4:D4"/>
    <mergeCell ref="E4:F4"/>
    <mergeCell ref="G4:H4"/>
    <mergeCell ref="I4:J4"/>
  </mergeCells>
  <conditionalFormatting sqref="M3">
    <cfRule type="cellIs" dxfId="35" priority="7" operator="lessThan">
      <formula>0</formula>
    </cfRule>
  </conditionalFormatting>
  <conditionalFormatting sqref="B6">
    <cfRule type="duplicateValues" dxfId="34" priority="1"/>
  </conditionalFormatting>
  <conditionalFormatting sqref="B22">
    <cfRule type="duplicateValues" dxfId="33" priority="2"/>
  </conditionalFormatting>
  <conditionalFormatting sqref="B33:B34 B26:B30">
    <cfRule type="duplicateValues" dxfId="32" priority="3"/>
  </conditionalFormatting>
  <conditionalFormatting sqref="B52">
    <cfRule type="duplicateValues" dxfId="31" priority="4"/>
  </conditionalFormatting>
  <conditionalFormatting sqref="B56">
    <cfRule type="duplicateValues" dxfId="30" priority="5"/>
  </conditionalFormatting>
  <conditionalFormatting sqref="B58">
    <cfRule type="duplicateValues" dxfId="29" priority="6"/>
  </conditionalFormatting>
  <pageMargins left="0.2" right="0.2" top="0.5" bottom="0.5" header="0.3" footer="0.3"/>
  <pageSetup paperSize="9" scale="6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71"/>
  <sheetViews>
    <sheetView view="pageBreakPreview" zoomScale="60" zoomScaleNormal="100" workbookViewId="0">
      <pane xSplit="2" ySplit="5" topLeftCell="C35" activePane="bottomRight" state="frozen"/>
      <selection pane="topRight" activeCell="C1" sqref="C1"/>
      <selection pane="bottomLeft" activeCell="A6" sqref="A6"/>
      <selection pane="bottomRight" activeCell="X47" sqref="X47"/>
    </sheetView>
  </sheetViews>
  <sheetFormatPr defaultRowHeight="12.75" x14ac:dyDescent="0.2"/>
  <cols>
    <col min="1" max="1" width="4.7109375" style="205" customWidth="1"/>
    <col min="2" max="2" width="24.42578125" style="205" bestFit="1" customWidth="1"/>
    <col min="3" max="3" width="9.42578125" style="207" bestFit="1" customWidth="1"/>
    <col min="4" max="4" width="9.140625" style="207" customWidth="1"/>
    <col min="5" max="5" width="9.42578125" style="207" bestFit="1" customWidth="1"/>
    <col min="6" max="6" width="11.5703125" style="207" bestFit="1" customWidth="1"/>
    <col min="7" max="7" width="9.42578125" style="207" bestFit="1" customWidth="1"/>
    <col min="8" max="8" width="10.5703125" style="207" bestFit="1" customWidth="1"/>
    <col min="9" max="9" width="9.42578125" style="207" bestFit="1" customWidth="1"/>
    <col min="10" max="10" width="9.28515625" style="207" customWidth="1"/>
    <col min="11" max="11" width="9.42578125" style="207" bestFit="1" customWidth="1"/>
    <col min="12" max="12" width="8.28515625" style="207" customWidth="1"/>
    <col min="13" max="13" width="9.42578125" style="207" bestFit="1" customWidth="1"/>
    <col min="14" max="14" width="9.140625" style="207" customWidth="1"/>
    <col min="15" max="15" width="9.42578125" style="207" bestFit="1" customWidth="1"/>
    <col min="16" max="16" width="8.42578125" style="207" customWidth="1"/>
    <col min="17" max="16384" width="9.140625" style="205"/>
  </cols>
  <sheetData>
    <row r="1" spans="1:16" ht="15.75" customHeight="1" x14ac:dyDescent="0.2">
      <c r="A1" s="536" t="s">
        <v>370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</row>
    <row r="2" spans="1:16" ht="14.25" x14ac:dyDescent="0.2">
      <c r="A2" s="48" t="s">
        <v>117</v>
      </c>
      <c r="B2" s="48"/>
      <c r="C2" s="195"/>
      <c r="D2" s="195"/>
      <c r="E2" s="195"/>
      <c r="F2" s="195"/>
    </row>
    <row r="3" spans="1:16" ht="15" customHeight="1" x14ac:dyDescent="0.2">
      <c r="A3" s="33"/>
      <c r="B3" s="466" t="s">
        <v>12</v>
      </c>
      <c r="C3" s="466"/>
      <c r="D3" s="466"/>
      <c r="M3" s="568" t="s">
        <v>183</v>
      </c>
      <c r="N3" s="568"/>
    </row>
    <row r="4" spans="1:16" x14ac:dyDescent="0.2">
      <c r="A4" s="570" t="s">
        <v>231</v>
      </c>
      <c r="B4" s="570" t="s">
        <v>3</v>
      </c>
      <c r="C4" s="573" t="s">
        <v>27</v>
      </c>
      <c r="D4" s="574"/>
      <c r="E4" s="569" t="s">
        <v>180</v>
      </c>
      <c r="F4" s="569"/>
      <c r="G4" s="573" t="s">
        <v>28</v>
      </c>
      <c r="H4" s="574"/>
      <c r="I4" s="569" t="s">
        <v>26</v>
      </c>
      <c r="J4" s="569"/>
      <c r="K4" s="573" t="s">
        <v>181</v>
      </c>
      <c r="L4" s="574"/>
      <c r="M4" s="569" t="s">
        <v>29</v>
      </c>
      <c r="N4" s="569"/>
      <c r="O4" s="569" t="s">
        <v>0</v>
      </c>
      <c r="P4" s="569"/>
    </row>
    <row r="5" spans="1:16" ht="13.5" x14ac:dyDescent="0.2">
      <c r="A5" s="571"/>
      <c r="B5" s="572"/>
      <c r="C5" s="284" t="s">
        <v>30</v>
      </c>
      <c r="D5" s="284" t="s">
        <v>17</v>
      </c>
      <c r="E5" s="284" t="s">
        <v>30</v>
      </c>
      <c r="F5" s="284" t="s">
        <v>17</v>
      </c>
      <c r="G5" s="284" t="s">
        <v>30</v>
      </c>
      <c r="H5" s="284" t="s">
        <v>17</v>
      </c>
      <c r="I5" s="284" t="s">
        <v>30</v>
      </c>
      <c r="J5" s="284" t="s">
        <v>17</v>
      </c>
      <c r="K5" s="284" t="s">
        <v>30</v>
      </c>
      <c r="L5" s="284" t="s">
        <v>17</v>
      </c>
      <c r="M5" s="284" t="s">
        <v>30</v>
      </c>
      <c r="N5" s="284" t="s">
        <v>17</v>
      </c>
      <c r="O5" s="285" t="s">
        <v>22</v>
      </c>
      <c r="P5" s="285" t="s">
        <v>23</v>
      </c>
    </row>
    <row r="6" spans="1:16" ht="15" customHeight="1" x14ac:dyDescent="0.2">
      <c r="A6" s="293">
        <v>1</v>
      </c>
      <c r="B6" s="294" t="s">
        <v>55</v>
      </c>
      <c r="C6" s="295">
        <v>109</v>
      </c>
      <c r="D6" s="295">
        <v>1241.1199999999999</v>
      </c>
      <c r="E6" s="295">
        <v>469</v>
      </c>
      <c r="F6" s="295">
        <v>1569.36</v>
      </c>
      <c r="G6" s="296">
        <v>0</v>
      </c>
      <c r="H6" s="296">
        <v>0</v>
      </c>
      <c r="I6" s="296">
        <v>126</v>
      </c>
      <c r="J6" s="296">
        <v>387</v>
      </c>
      <c r="K6" s="296">
        <v>0</v>
      </c>
      <c r="L6" s="296">
        <v>0</v>
      </c>
      <c r="M6" s="296">
        <v>74</v>
      </c>
      <c r="N6" s="296">
        <v>796</v>
      </c>
      <c r="O6" s="296">
        <f>C6+E6+G6+I6+K6+M6</f>
        <v>778</v>
      </c>
      <c r="P6" s="296">
        <f>D6+F6+H6+J6+L6+N6</f>
        <v>3993.4799999999996</v>
      </c>
    </row>
    <row r="7" spans="1:16" ht="15" customHeight="1" x14ac:dyDescent="0.2">
      <c r="A7" s="293">
        <v>2</v>
      </c>
      <c r="B7" s="294" t="s">
        <v>56</v>
      </c>
      <c r="C7" s="296">
        <v>6</v>
      </c>
      <c r="D7" s="296">
        <v>13.91</v>
      </c>
      <c r="E7" s="296">
        <v>99</v>
      </c>
      <c r="F7" s="296">
        <v>304.05</v>
      </c>
      <c r="G7" s="296">
        <v>0</v>
      </c>
      <c r="H7" s="296">
        <v>0</v>
      </c>
      <c r="I7" s="296">
        <v>20</v>
      </c>
      <c r="J7" s="296">
        <v>81.09</v>
      </c>
      <c r="K7" s="296">
        <v>0</v>
      </c>
      <c r="L7" s="296">
        <v>0</v>
      </c>
      <c r="M7" s="296">
        <v>11</v>
      </c>
      <c r="N7" s="296">
        <v>31.5</v>
      </c>
      <c r="O7" s="296">
        <f t="shared" ref="O7:O32" si="0">C7+E7+G7+I7+K7+M7</f>
        <v>136</v>
      </c>
      <c r="P7" s="296">
        <f t="shared" ref="P7:P32" si="1">D7+F7+H7+J7+L7+N7</f>
        <v>430.55000000000007</v>
      </c>
    </row>
    <row r="8" spans="1:16" ht="15" customHeight="1" x14ac:dyDescent="0.2">
      <c r="A8" s="293">
        <v>3</v>
      </c>
      <c r="B8" s="294" t="s">
        <v>57</v>
      </c>
      <c r="C8" s="296">
        <v>11</v>
      </c>
      <c r="D8" s="296">
        <v>71</v>
      </c>
      <c r="E8" s="296">
        <v>105</v>
      </c>
      <c r="F8" s="296">
        <v>782</v>
      </c>
      <c r="G8" s="296">
        <v>1</v>
      </c>
      <c r="H8" s="296">
        <v>1</v>
      </c>
      <c r="I8" s="296">
        <v>38</v>
      </c>
      <c r="J8" s="296">
        <v>623</v>
      </c>
      <c r="K8" s="296">
        <v>1</v>
      </c>
      <c r="L8" s="296">
        <v>1</v>
      </c>
      <c r="M8" s="296">
        <v>95</v>
      </c>
      <c r="N8" s="296">
        <v>3546</v>
      </c>
      <c r="O8" s="296">
        <f t="shared" si="0"/>
        <v>251</v>
      </c>
      <c r="P8" s="296">
        <f t="shared" si="1"/>
        <v>5024</v>
      </c>
    </row>
    <row r="9" spans="1:16" ht="15" customHeight="1" x14ac:dyDescent="0.2">
      <c r="A9" s="293">
        <v>4</v>
      </c>
      <c r="B9" s="294" t="s">
        <v>58</v>
      </c>
      <c r="C9" s="296">
        <v>312</v>
      </c>
      <c r="D9" s="296">
        <v>612</v>
      </c>
      <c r="E9" s="296">
        <v>13446</v>
      </c>
      <c r="F9" s="296">
        <v>15423</v>
      </c>
      <c r="G9" s="296">
        <v>11</v>
      </c>
      <c r="H9" s="296">
        <v>9</v>
      </c>
      <c r="I9" s="296">
        <v>598</v>
      </c>
      <c r="J9" s="296">
        <v>11046</v>
      </c>
      <c r="K9" s="296">
        <v>1</v>
      </c>
      <c r="L9" s="296">
        <v>2</v>
      </c>
      <c r="M9" s="296">
        <v>73</v>
      </c>
      <c r="N9" s="296">
        <v>854</v>
      </c>
      <c r="O9" s="296">
        <f t="shared" si="0"/>
        <v>14441</v>
      </c>
      <c r="P9" s="296">
        <f t="shared" si="1"/>
        <v>27946</v>
      </c>
    </row>
    <row r="10" spans="1:16" ht="15" customHeight="1" x14ac:dyDescent="0.2">
      <c r="A10" s="293">
        <v>5</v>
      </c>
      <c r="B10" s="294" t="s">
        <v>59</v>
      </c>
      <c r="C10" s="296">
        <v>85</v>
      </c>
      <c r="D10" s="296">
        <v>178</v>
      </c>
      <c r="E10" s="296">
        <v>79</v>
      </c>
      <c r="F10" s="296">
        <v>131</v>
      </c>
      <c r="G10" s="296">
        <v>0</v>
      </c>
      <c r="H10" s="296">
        <v>0</v>
      </c>
      <c r="I10" s="296">
        <v>15</v>
      </c>
      <c r="J10" s="296">
        <v>73</v>
      </c>
      <c r="K10" s="296">
        <v>0</v>
      </c>
      <c r="L10" s="296">
        <v>0</v>
      </c>
      <c r="M10" s="296">
        <v>53</v>
      </c>
      <c r="N10" s="296">
        <v>193</v>
      </c>
      <c r="O10" s="296">
        <f t="shared" si="0"/>
        <v>232</v>
      </c>
      <c r="P10" s="296">
        <f t="shared" si="1"/>
        <v>575</v>
      </c>
    </row>
    <row r="11" spans="1:16" ht="15" customHeight="1" x14ac:dyDescent="0.2">
      <c r="A11" s="293">
        <v>6</v>
      </c>
      <c r="B11" s="297" t="s">
        <v>242</v>
      </c>
      <c r="C11" s="296">
        <v>1</v>
      </c>
      <c r="D11" s="296">
        <v>0.69</v>
      </c>
      <c r="E11" s="296">
        <v>0</v>
      </c>
      <c r="F11" s="296">
        <v>0</v>
      </c>
      <c r="G11" s="296">
        <v>0</v>
      </c>
      <c r="H11" s="296">
        <v>0</v>
      </c>
      <c r="I11" s="296">
        <v>0</v>
      </c>
      <c r="J11" s="296">
        <v>0</v>
      </c>
      <c r="K11" s="296">
        <v>0</v>
      </c>
      <c r="L11" s="296">
        <v>0</v>
      </c>
      <c r="M11" s="296">
        <v>0</v>
      </c>
      <c r="N11" s="296">
        <v>0</v>
      </c>
      <c r="O11" s="296">
        <f t="shared" si="0"/>
        <v>1</v>
      </c>
      <c r="P11" s="296">
        <f t="shared" si="1"/>
        <v>0.69</v>
      </c>
    </row>
    <row r="12" spans="1:16" ht="15" customHeight="1" x14ac:dyDescent="0.2">
      <c r="A12" s="293">
        <v>7</v>
      </c>
      <c r="B12" s="294" t="s">
        <v>60</v>
      </c>
      <c r="C12" s="296">
        <v>734</v>
      </c>
      <c r="D12" s="296">
        <v>712</v>
      </c>
      <c r="E12" s="296">
        <v>649</v>
      </c>
      <c r="F12" s="296">
        <v>809</v>
      </c>
      <c r="G12" s="296">
        <v>21</v>
      </c>
      <c r="H12" s="296">
        <v>102</v>
      </c>
      <c r="I12" s="296">
        <v>187</v>
      </c>
      <c r="J12" s="296">
        <v>201</v>
      </c>
      <c r="K12" s="296">
        <v>0</v>
      </c>
      <c r="L12" s="296">
        <v>0</v>
      </c>
      <c r="M12" s="296">
        <v>422</v>
      </c>
      <c r="N12" s="296">
        <v>1152</v>
      </c>
      <c r="O12" s="296">
        <f t="shared" si="0"/>
        <v>2013</v>
      </c>
      <c r="P12" s="296">
        <f t="shared" si="1"/>
        <v>2976</v>
      </c>
    </row>
    <row r="13" spans="1:16" ht="15" customHeight="1" x14ac:dyDescent="0.2">
      <c r="A13" s="293">
        <v>8</v>
      </c>
      <c r="B13" s="294" t="s">
        <v>61</v>
      </c>
      <c r="C13" s="296">
        <v>86</v>
      </c>
      <c r="D13" s="296">
        <v>41</v>
      </c>
      <c r="E13" s="296">
        <v>3165</v>
      </c>
      <c r="F13" s="296">
        <v>608</v>
      </c>
      <c r="G13" s="296">
        <v>0</v>
      </c>
      <c r="H13" s="296">
        <v>0</v>
      </c>
      <c r="I13" s="296">
        <v>641</v>
      </c>
      <c r="J13" s="296">
        <v>323</v>
      </c>
      <c r="K13" s="296">
        <v>0</v>
      </c>
      <c r="L13" s="296">
        <v>0</v>
      </c>
      <c r="M13" s="296">
        <v>78</v>
      </c>
      <c r="N13" s="296">
        <v>1409</v>
      </c>
      <c r="O13" s="296">
        <f t="shared" si="0"/>
        <v>3970</v>
      </c>
      <c r="P13" s="296">
        <f t="shared" si="1"/>
        <v>2381</v>
      </c>
    </row>
    <row r="14" spans="1:16" ht="15" customHeight="1" x14ac:dyDescent="0.2">
      <c r="A14" s="293">
        <v>9</v>
      </c>
      <c r="B14" s="294" t="s">
        <v>48</v>
      </c>
      <c r="C14" s="296">
        <v>34</v>
      </c>
      <c r="D14" s="296">
        <v>86</v>
      </c>
      <c r="E14" s="296">
        <v>251</v>
      </c>
      <c r="F14" s="296">
        <v>818.7</v>
      </c>
      <c r="G14" s="296">
        <v>15</v>
      </c>
      <c r="H14" s="296">
        <v>9</v>
      </c>
      <c r="I14" s="296">
        <v>36</v>
      </c>
      <c r="J14" s="296">
        <v>1.83</v>
      </c>
      <c r="K14" s="296">
        <v>0</v>
      </c>
      <c r="L14" s="296">
        <v>0</v>
      </c>
      <c r="M14" s="296">
        <v>272</v>
      </c>
      <c r="N14" s="296">
        <v>1574.82</v>
      </c>
      <c r="O14" s="296">
        <f t="shared" si="0"/>
        <v>608</v>
      </c>
      <c r="P14" s="296">
        <f t="shared" si="1"/>
        <v>2490.35</v>
      </c>
    </row>
    <row r="15" spans="1:16" ht="15" customHeight="1" x14ac:dyDescent="0.2">
      <c r="A15" s="293">
        <v>10</v>
      </c>
      <c r="B15" s="294" t="s">
        <v>49</v>
      </c>
      <c r="C15" s="296">
        <v>2</v>
      </c>
      <c r="D15" s="296">
        <v>7</v>
      </c>
      <c r="E15" s="296">
        <v>89</v>
      </c>
      <c r="F15" s="296">
        <v>364</v>
      </c>
      <c r="G15" s="296">
        <v>0</v>
      </c>
      <c r="H15" s="296">
        <v>0</v>
      </c>
      <c r="I15" s="296">
        <v>17</v>
      </c>
      <c r="J15" s="296">
        <v>141</v>
      </c>
      <c r="K15" s="296">
        <v>1</v>
      </c>
      <c r="L15" s="296">
        <v>7</v>
      </c>
      <c r="M15" s="296">
        <v>35</v>
      </c>
      <c r="N15" s="296">
        <v>97</v>
      </c>
      <c r="O15" s="296">
        <f t="shared" si="0"/>
        <v>144</v>
      </c>
      <c r="P15" s="296">
        <f t="shared" si="1"/>
        <v>616</v>
      </c>
    </row>
    <row r="16" spans="1:16" ht="15" customHeight="1" x14ac:dyDescent="0.2">
      <c r="A16" s="293">
        <v>11</v>
      </c>
      <c r="B16" s="294" t="s">
        <v>81</v>
      </c>
      <c r="C16" s="296">
        <v>8</v>
      </c>
      <c r="D16" s="296">
        <v>94</v>
      </c>
      <c r="E16" s="296">
        <v>114</v>
      </c>
      <c r="F16" s="296">
        <v>331</v>
      </c>
      <c r="G16" s="296">
        <v>0</v>
      </c>
      <c r="H16" s="296">
        <v>0</v>
      </c>
      <c r="I16" s="296">
        <v>18</v>
      </c>
      <c r="J16" s="296">
        <v>224</v>
      </c>
      <c r="K16" s="296">
        <v>0</v>
      </c>
      <c r="L16" s="296">
        <v>0</v>
      </c>
      <c r="M16" s="296">
        <v>155</v>
      </c>
      <c r="N16" s="296">
        <v>2002</v>
      </c>
      <c r="O16" s="296">
        <f t="shared" si="0"/>
        <v>295</v>
      </c>
      <c r="P16" s="296">
        <f t="shared" si="1"/>
        <v>2651</v>
      </c>
    </row>
    <row r="17" spans="1:16" ht="15" customHeight="1" x14ac:dyDescent="0.2">
      <c r="A17" s="293">
        <v>12</v>
      </c>
      <c r="B17" s="294" t="s">
        <v>62</v>
      </c>
      <c r="C17" s="296">
        <v>45</v>
      </c>
      <c r="D17" s="296">
        <v>119</v>
      </c>
      <c r="E17" s="296">
        <v>543</v>
      </c>
      <c r="F17" s="296">
        <v>414</v>
      </c>
      <c r="G17" s="296">
        <v>0</v>
      </c>
      <c r="H17" s="296">
        <v>0</v>
      </c>
      <c r="I17" s="296">
        <v>16</v>
      </c>
      <c r="J17" s="296">
        <v>39</v>
      </c>
      <c r="K17" s="296">
        <v>0</v>
      </c>
      <c r="L17" s="296">
        <v>0</v>
      </c>
      <c r="M17" s="296">
        <v>0</v>
      </c>
      <c r="N17" s="296">
        <v>0</v>
      </c>
      <c r="O17" s="296">
        <f t="shared" si="0"/>
        <v>604</v>
      </c>
      <c r="P17" s="296">
        <f t="shared" si="1"/>
        <v>572</v>
      </c>
    </row>
    <row r="18" spans="1:16" ht="15" customHeight="1" x14ac:dyDescent="0.2">
      <c r="A18" s="293">
        <v>13</v>
      </c>
      <c r="B18" s="294" t="s">
        <v>63</v>
      </c>
      <c r="C18" s="296">
        <v>0</v>
      </c>
      <c r="D18" s="296">
        <v>0</v>
      </c>
      <c r="E18" s="296">
        <v>6</v>
      </c>
      <c r="F18" s="296">
        <v>18</v>
      </c>
      <c r="G18" s="296">
        <v>0</v>
      </c>
      <c r="H18" s="296">
        <v>0</v>
      </c>
      <c r="I18" s="296">
        <v>1</v>
      </c>
      <c r="J18" s="296">
        <v>8</v>
      </c>
      <c r="K18" s="296">
        <v>0</v>
      </c>
      <c r="L18" s="296">
        <v>0</v>
      </c>
      <c r="M18" s="296">
        <v>1</v>
      </c>
      <c r="N18" s="296">
        <v>5</v>
      </c>
      <c r="O18" s="296">
        <f t="shared" si="0"/>
        <v>8</v>
      </c>
      <c r="P18" s="296">
        <f t="shared" si="1"/>
        <v>31</v>
      </c>
    </row>
    <row r="19" spans="1:16" ht="15" customHeight="1" x14ac:dyDescent="0.2">
      <c r="A19" s="293">
        <v>14</v>
      </c>
      <c r="B19" s="298" t="s">
        <v>207</v>
      </c>
      <c r="C19" s="296">
        <v>16</v>
      </c>
      <c r="D19" s="296">
        <v>47.31</v>
      </c>
      <c r="E19" s="296">
        <v>206</v>
      </c>
      <c r="F19" s="296">
        <v>533.35</v>
      </c>
      <c r="G19" s="296">
        <v>0</v>
      </c>
      <c r="H19" s="296">
        <v>0</v>
      </c>
      <c r="I19" s="296">
        <v>34</v>
      </c>
      <c r="J19" s="296">
        <v>139.37</v>
      </c>
      <c r="K19" s="296">
        <v>0</v>
      </c>
      <c r="L19" s="296">
        <v>0</v>
      </c>
      <c r="M19" s="296">
        <v>78</v>
      </c>
      <c r="N19" s="296">
        <v>455.45</v>
      </c>
      <c r="O19" s="296">
        <f t="shared" si="0"/>
        <v>334</v>
      </c>
      <c r="P19" s="296">
        <f t="shared" si="1"/>
        <v>1175.48</v>
      </c>
    </row>
    <row r="20" spans="1:16" ht="15" customHeight="1" x14ac:dyDescent="0.2">
      <c r="A20" s="293">
        <v>15</v>
      </c>
      <c r="B20" s="294" t="s">
        <v>208</v>
      </c>
      <c r="C20" s="296">
        <v>0</v>
      </c>
      <c r="D20" s="296">
        <v>0</v>
      </c>
      <c r="E20" s="296">
        <v>15</v>
      </c>
      <c r="F20" s="296">
        <v>87.4</v>
      </c>
      <c r="G20" s="296">
        <v>0</v>
      </c>
      <c r="H20" s="296">
        <v>0</v>
      </c>
      <c r="I20" s="296">
        <v>20</v>
      </c>
      <c r="J20" s="296">
        <v>140</v>
      </c>
      <c r="K20" s="296">
        <v>0</v>
      </c>
      <c r="L20" s="296">
        <v>0</v>
      </c>
      <c r="M20" s="296">
        <v>0</v>
      </c>
      <c r="N20" s="296">
        <v>0</v>
      </c>
      <c r="O20" s="296">
        <f t="shared" si="0"/>
        <v>35</v>
      </c>
      <c r="P20" s="296">
        <f t="shared" si="1"/>
        <v>227.4</v>
      </c>
    </row>
    <row r="21" spans="1:16" ht="15" customHeight="1" x14ac:dyDescent="0.2">
      <c r="A21" s="293">
        <v>16</v>
      </c>
      <c r="B21" s="294" t="s">
        <v>64</v>
      </c>
      <c r="C21" s="296">
        <v>211</v>
      </c>
      <c r="D21" s="296">
        <v>735</v>
      </c>
      <c r="E21" s="296">
        <v>2910</v>
      </c>
      <c r="F21" s="296">
        <v>9826</v>
      </c>
      <c r="G21" s="296">
        <v>17</v>
      </c>
      <c r="H21" s="296">
        <v>31</v>
      </c>
      <c r="I21" s="296">
        <v>465</v>
      </c>
      <c r="J21" s="296">
        <v>6140</v>
      </c>
      <c r="K21" s="296">
        <v>4</v>
      </c>
      <c r="L21" s="296">
        <v>2</v>
      </c>
      <c r="M21" s="296">
        <v>732</v>
      </c>
      <c r="N21" s="296">
        <v>7160</v>
      </c>
      <c r="O21" s="296">
        <f t="shared" si="0"/>
        <v>4339</v>
      </c>
      <c r="P21" s="296">
        <f t="shared" si="1"/>
        <v>23894</v>
      </c>
    </row>
    <row r="22" spans="1:16" ht="15" customHeight="1" x14ac:dyDescent="0.2">
      <c r="A22" s="293">
        <v>17</v>
      </c>
      <c r="B22" s="298" t="s">
        <v>69</v>
      </c>
      <c r="C22" s="296">
        <v>0</v>
      </c>
      <c r="D22" s="296">
        <v>0</v>
      </c>
      <c r="E22" s="296">
        <v>20</v>
      </c>
      <c r="F22" s="296">
        <v>1.8</v>
      </c>
      <c r="G22" s="296">
        <v>0</v>
      </c>
      <c r="H22" s="296">
        <v>0</v>
      </c>
      <c r="I22" s="296">
        <v>0</v>
      </c>
      <c r="J22" s="296">
        <v>0</v>
      </c>
      <c r="K22" s="296">
        <v>0</v>
      </c>
      <c r="L22" s="296">
        <v>0</v>
      </c>
      <c r="M22" s="296">
        <v>4</v>
      </c>
      <c r="N22" s="296">
        <v>0.48</v>
      </c>
      <c r="O22" s="296">
        <f t="shared" si="0"/>
        <v>24</v>
      </c>
      <c r="P22" s="296">
        <f t="shared" si="1"/>
        <v>2.2800000000000002</v>
      </c>
    </row>
    <row r="23" spans="1:16" ht="15" customHeight="1" x14ac:dyDescent="0.2">
      <c r="A23" s="293">
        <v>18</v>
      </c>
      <c r="B23" s="294" t="s">
        <v>209</v>
      </c>
      <c r="C23" s="296">
        <v>0</v>
      </c>
      <c r="D23" s="296">
        <v>0</v>
      </c>
      <c r="E23" s="296">
        <v>0</v>
      </c>
      <c r="F23" s="296">
        <v>0</v>
      </c>
      <c r="G23" s="296">
        <v>0</v>
      </c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f t="shared" si="0"/>
        <v>0</v>
      </c>
      <c r="P23" s="296">
        <f t="shared" si="1"/>
        <v>0</v>
      </c>
    </row>
    <row r="24" spans="1:16" ht="15" customHeight="1" x14ac:dyDescent="0.2">
      <c r="A24" s="293">
        <v>19</v>
      </c>
      <c r="B24" s="299" t="s">
        <v>210</v>
      </c>
      <c r="C24" s="296">
        <v>0</v>
      </c>
      <c r="D24" s="296">
        <v>0</v>
      </c>
      <c r="E24" s="296">
        <v>32</v>
      </c>
      <c r="F24" s="296">
        <v>53.98</v>
      </c>
      <c r="G24" s="296">
        <v>0</v>
      </c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22</v>
      </c>
      <c r="N24" s="296">
        <v>81.599999999999994</v>
      </c>
      <c r="O24" s="296">
        <f t="shared" si="0"/>
        <v>54</v>
      </c>
      <c r="P24" s="296">
        <f t="shared" si="1"/>
        <v>135.57999999999998</v>
      </c>
    </row>
    <row r="25" spans="1:16" ht="15" customHeight="1" x14ac:dyDescent="0.2">
      <c r="A25" s="293">
        <v>20</v>
      </c>
      <c r="B25" s="294" t="s">
        <v>211</v>
      </c>
      <c r="C25" s="296">
        <v>21</v>
      </c>
      <c r="D25" s="296">
        <v>501</v>
      </c>
      <c r="E25" s="296">
        <v>15</v>
      </c>
      <c r="F25" s="296">
        <v>200</v>
      </c>
      <c r="G25" s="296">
        <v>0</v>
      </c>
      <c r="H25" s="296">
        <v>0</v>
      </c>
      <c r="I25" s="296">
        <v>6</v>
      </c>
      <c r="J25" s="296">
        <v>3</v>
      </c>
      <c r="K25" s="296">
        <v>0</v>
      </c>
      <c r="L25" s="296">
        <v>0</v>
      </c>
      <c r="M25" s="296">
        <v>0</v>
      </c>
      <c r="N25" s="296">
        <v>0</v>
      </c>
      <c r="O25" s="296">
        <f t="shared" si="0"/>
        <v>42</v>
      </c>
      <c r="P25" s="296">
        <f t="shared" si="1"/>
        <v>704</v>
      </c>
    </row>
    <row r="26" spans="1:16" ht="15" customHeight="1" x14ac:dyDescent="0.2">
      <c r="A26" s="293">
        <v>21</v>
      </c>
      <c r="B26" s="294" t="s">
        <v>212</v>
      </c>
      <c r="C26" s="296">
        <v>2</v>
      </c>
      <c r="D26" s="296">
        <v>1</v>
      </c>
      <c r="E26" s="296">
        <v>15</v>
      </c>
      <c r="F26" s="296">
        <v>5</v>
      </c>
      <c r="G26" s="296">
        <v>0</v>
      </c>
      <c r="H26" s="296">
        <v>0</v>
      </c>
      <c r="I26" s="296">
        <v>1</v>
      </c>
      <c r="J26" s="296">
        <v>1</v>
      </c>
      <c r="K26" s="296">
        <v>0</v>
      </c>
      <c r="L26" s="296">
        <v>0</v>
      </c>
      <c r="M26" s="296">
        <v>30</v>
      </c>
      <c r="N26" s="296">
        <v>42</v>
      </c>
      <c r="O26" s="296">
        <f t="shared" si="0"/>
        <v>48</v>
      </c>
      <c r="P26" s="296">
        <f t="shared" si="1"/>
        <v>49</v>
      </c>
    </row>
    <row r="27" spans="1:16" ht="15" customHeight="1" x14ac:dyDescent="0.2">
      <c r="A27" s="293">
        <v>22</v>
      </c>
      <c r="B27" s="294" t="s">
        <v>70</v>
      </c>
      <c r="C27" s="296">
        <v>581</v>
      </c>
      <c r="D27" s="296">
        <v>134</v>
      </c>
      <c r="E27" s="296">
        <v>850</v>
      </c>
      <c r="F27" s="296">
        <v>346</v>
      </c>
      <c r="G27" s="296">
        <v>60</v>
      </c>
      <c r="H27" s="296">
        <v>22</v>
      </c>
      <c r="I27" s="296">
        <v>285</v>
      </c>
      <c r="J27" s="296">
        <v>136</v>
      </c>
      <c r="K27" s="296">
        <v>12</v>
      </c>
      <c r="L27" s="296">
        <v>6</v>
      </c>
      <c r="M27" s="296">
        <v>348</v>
      </c>
      <c r="N27" s="296">
        <v>164</v>
      </c>
      <c r="O27" s="296">
        <f t="shared" si="0"/>
        <v>2136</v>
      </c>
      <c r="P27" s="296">
        <f t="shared" si="1"/>
        <v>808</v>
      </c>
    </row>
    <row r="28" spans="1:16" ht="15" customHeight="1" x14ac:dyDescent="0.2">
      <c r="A28" s="293">
        <v>23</v>
      </c>
      <c r="B28" s="294" t="s">
        <v>65</v>
      </c>
      <c r="C28" s="296">
        <v>18</v>
      </c>
      <c r="D28" s="296">
        <v>32</v>
      </c>
      <c r="E28" s="296">
        <v>303</v>
      </c>
      <c r="F28" s="296">
        <v>837</v>
      </c>
      <c r="G28" s="296">
        <v>3</v>
      </c>
      <c r="H28" s="296">
        <v>19</v>
      </c>
      <c r="I28" s="296">
        <v>19</v>
      </c>
      <c r="J28" s="296">
        <v>534</v>
      </c>
      <c r="K28" s="296">
        <v>0</v>
      </c>
      <c r="L28" s="296">
        <v>0</v>
      </c>
      <c r="M28" s="296">
        <v>40</v>
      </c>
      <c r="N28" s="296">
        <v>94</v>
      </c>
      <c r="O28" s="296">
        <f t="shared" si="0"/>
        <v>383</v>
      </c>
      <c r="P28" s="296">
        <f t="shared" si="1"/>
        <v>1516</v>
      </c>
    </row>
    <row r="29" spans="1:16" ht="15" customHeight="1" x14ac:dyDescent="0.2">
      <c r="A29" s="293">
        <v>24</v>
      </c>
      <c r="B29" s="294" t="s">
        <v>213</v>
      </c>
      <c r="C29" s="296">
        <v>6</v>
      </c>
      <c r="D29" s="296">
        <v>27</v>
      </c>
      <c r="E29" s="296">
        <v>69</v>
      </c>
      <c r="F29" s="296">
        <v>123</v>
      </c>
      <c r="G29" s="296">
        <v>0</v>
      </c>
      <c r="H29" s="296">
        <v>0</v>
      </c>
      <c r="I29" s="296">
        <v>34</v>
      </c>
      <c r="J29" s="296">
        <v>121</v>
      </c>
      <c r="K29" s="296">
        <v>0</v>
      </c>
      <c r="L29" s="296">
        <v>0</v>
      </c>
      <c r="M29" s="296">
        <v>91</v>
      </c>
      <c r="N29" s="296">
        <v>321</v>
      </c>
      <c r="O29" s="296">
        <f t="shared" si="0"/>
        <v>200</v>
      </c>
      <c r="P29" s="296">
        <f t="shared" si="1"/>
        <v>592</v>
      </c>
    </row>
    <row r="30" spans="1:16" ht="15" customHeight="1" x14ac:dyDescent="0.2">
      <c r="A30" s="293">
        <v>25</v>
      </c>
      <c r="B30" s="294" t="s">
        <v>66</v>
      </c>
      <c r="C30" s="296">
        <v>167</v>
      </c>
      <c r="D30" s="296">
        <v>613</v>
      </c>
      <c r="E30" s="296">
        <v>1844</v>
      </c>
      <c r="F30" s="296">
        <v>7232</v>
      </c>
      <c r="G30" s="296">
        <v>19</v>
      </c>
      <c r="H30" s="296">
        <v>28</v>
      </c>
      <c r="I30" s="296">
        <v>247</v>
      </c>
      <c r="J30" s="296">
        <v>234</v>
      </c>
      <c r="K30" s="296">
        <v>2</v>
      </c>
      <c r="L30" s="296">
        <v>1</v>
      </c>
      <c r="M30" s="296">
        <v>471</v>
      </c>
      <c r="N30" s="296">
        <v>4574</v>
      </c>
      <c r="O30" s="296">
        <f t="shared" si="0"/>
        <v>2750</v>
      </c>
      <c r="P30" s="296">
        <f t="shared" si="1"/>
        <v>12682</v>
      </c>
    </row>
    <row r="31" spans="1:16" ht="15" customHeight="1" x14ac:dyDescent="0.2">
      <c r="A31" s="293">
        <v>26</v>
      </c>
      <c r="B31" s="297" t="s">
        <v>67</v>
      </c>
      <c r="C31" s="296">
        <v>1</v>
      </c>
      <c r="D31" s="296">
        <v>2</v>
      </c>
      <c r="E31" s="296">
        <v>16</v>
      </c>
      <c r="F31" s="296">
        <v>31</v>
      </c>
      <c r="G31" s="296">
        <v>0</v>
      </c>
      <c r="H31" s="296">
        <v>0</v>
      </c>
      <c r="I31" s="296">
        <v>1</v>
      </c>
      <c r="J31" s="296">
        <v>2</v>
      </c>
      <c r="K31" s="296">
        <v>0</v>
      </c>
      <c r="L31" s="296">
        <v>0</v>
      </c>
      <c r="M31" s="296">
        <v>0</v>
      </c>
      <c r="N31" s="296">
        <v>0</v>
      </c>
      <c r="O31" s="296">
        <f t="shared" si="0"/>
        <v>18</v>
      </c>
      <c r="P31" s="296">
        <f t="shared" si="1"/>
        <v>35</v>
      </c>
    </row>
    <row r="32" spans="1:16" ht="15" customHeight="1" x14ac:dyDescent="0.2">
      <c r="A32" s="293">
        <v>27</v>
      </c>
      <c r="B32" s="294" t="s">
        <v>50</v>
      </c>
      <c r="C32" s="296">
        <v>55</v>
      </c>
      <c r="D32" s="296">
        <v>192</v>
      </c>
      <c r="E32" s="296">
        <v>210</v>
      </c>
      <c r="F32" s="296">
        <v>550</v>
      </c>
      <c r="G32" s="296">
        <v>1</v>
      </c>
      <c r="H32" s="296">
        <v>0.42</v>
      </c>
      <c r="I32" s="296">
        <v>32</v>
      </c>
      <c r="J32" s="296">
        <v>282</v>
      </c>
      <c r="K32" s="296">
        <v>0</v>
      </c>
      <c r="L32" s="296">
        <v>0</v>
      </c>
      <c r="M32" s="296">
        <v>175</v>
      </c>
      <c r="N32" s="296">
        <v>650</v>
      </c>
      <c r="O32" s="296">
        <f t="shared" si="0"/>
        <v>473</v>
      </c>
      <c r="P32" s="296">
        <f t="shared" si="1"/>
        <v>1674.42</v>
      </c>
    </row>
    <row r="33" spans="1:16" s="286" customFormat="1" ht="15" customHeight="1" x14ac:dyDescent="0.2">
      <c r="A33" s="302" t="s">
        <v>348</v>
      </c>
      <c r="B33" s="303" t="s">
        <v>288</v>
      </c>
      <c r="C33" s="300">
        <f>SUM(C6:C32)</f>
        <v>2511</v>
      </c>
      <c r="D33" s="300">
        <f t="shared" ref="D33:N33" si="2">SUM(D6:D32)</f>
        <v>5460.03</v>
      </c>
      <c r="E33" s="300">
        <f t="shared" si="2"/>
        <v>25520</v>
      </c>
      <c r="F33" s="300">
        <f t="shared" si="2"/>
        <v>41398.639999999999</v>
      </c>
      <c r="G33" s="300">
        <f t="shared" si="2"/>
        <v>148</v>
      </c>
      <c r="H33" s="300">
        <f t="shared" si="2"/>
        <v>221.42</v>
      </c>
      <c r="I33" s="300">
        <f t="shared" si="2"/>
        <v>2857</v>
      </c>
      <c r="J33" s="300">
        <f t="shared" si="2"/>
        <v>20880.29</v>
      </c>
      <c r="K33" s="300">
        <f t="shared" si="2"/>
        <v>21</v>
      </c>
      <c r="L33" s="300">
        <f t="shared" si="2"/>
        <v>19</v>
      </c>
      <c r="M33" s="300">
        <f t="shared" si="2"/>
        <v>3260</v>
      </c>
      <c r="N33" s="300">
        <f t="shared" si="2"/>
        <v>25202.85</v>
      </c>
      <c r="O33" s="300">
        <f t="shared" ref="O33" si="3">SUM(O6:O32)</f>
        <v>34317</v>
      </c>
      <c r="P33" s="300">
        <f t="shared" ref="P33" si="4">SUM(P6:P32)</f>
        <v>93182.23000000001</v>
      </c>
    </row>
    <row r="34" spans="1:16" ht="15" customHeight="1" x14ac:dyDescent="0.2">
      <c r="A34" s="293">
        <v>28</v>
      </c>
      <c r="B34" s="294" t="s">
        <v>47</v>
      </c>
      <c r="C34" s="296">
        <v>18</v>
      </c>
      <c r="D34" s="296">
        <v>64.95</v>
      </c>
      <c r="E34" s="296">
        <v>980</v>
      </c>
      <c r="F34" s="296">
        <v>1699.57</v>
      </c>
      <c r="G34" s="296">
        <v>0</v>
      </c>
      <c r="H34" s="296">
        <v>0</v>
      </c>
      <c r="I34" s="296">
        <v>115</v>
      </c>
      <c r="J34" s="296">
        <v>469.39</v>
      </c>
      <c r="K34" s="296">
        <v>0</v>
      </c>
      <c r="L34" s="296">
        <v>0</v>
      </c>
      <c r="M34" s="296">
        <v>0</v>
      </c>
      <c r="N34" s="296">
        <v>0</v>
      </c>
      <c r="O34" s="296">
        <f t="shared" ref="O34:O61" si="5">C34+E34+G34+I34+K34+M34</f>
        <v>1113</v>
      </c>
      <c r="P34" s="296">
        <f t="shared" ref="P34:P61" si="6">D34+F34+H34+J34+L34+N34</f>
        <v>2233.91</v>
      </c>
    </row>
    <row r="35" spans="1:16" ht="15" customHeight="1" x14ac:dyDescent="0.2">
      <c r="A35" s="293">
        <v>29</v>
      </c>
      <c r="B35" s="294" t="s">
        <v>215</v>
      </c>
      <c r="C35" s="296">
        <v>0</v>
      </c>
      <c r="D35" s="296">
        <v>0</v>
      </c>
      <c r="E35" s="296">
        <v>0</v>
      </c>
      <c r="F35" s="296">
        <v>0</v>
      </c>
      <c r="G35" s="296">
        <v>0</v>
      </c>
      <c r="H35" s="296">
        <v>0</v>
      </c>
      <c r="I35" s="296">
        <v>0</v>
      </c>
      <c r="J35" s="296">
        <v>0</v>
      </c>
      <c r="K35" s="296">
        <v>0</v>
      </c>
      <c r="L35" s="296">
        <v>0</v>
      </c>
      <c r="M35" s="296">
        <v>0</v>
      </c>
      <c r="N35" s="296">
        <v>0</v>
      </c>
      <c r="O35" s="296">
        <f t="shared" si="5"/>
        <v>0</v>
      </c>
      <c r="P35" s="296">
        <f t="shared" si="6"/>
        <v>0</v>
      </c>
    </row>
    <row r="36" spans="1:16" ht="15" customHeight="1" x14ac:dyDescent="0.2">
      <c r="A36" s="293">
        <v>30</v>
      </c>
      <c r="B36" s="294" t="s">
        <v>216</v>
      </c>
      <c r="C36" s="296">
        <v>0</v>
      </c>
      <c r="D36" s="296">
        <v>0</v>
      </c>
      <c r="E36" s="296">
        <v>0</v>
      </c>
      <c r="F36" s="296">
        <v>0</v>
      </c>
      <c r="G36" s="296">
        <v>0</v>
      </c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f t="shared" si="5"/>
        <v>0</v>
      </c>
      <c r="P36" s="296">
        <f t="shared" si="6"/>
        <v>0</v>
      </c>
    </row>
    <row r="37" spans="1:16" ht="15" customHeight="1" x14ac:dyDescent="0.2">
      <c r="A37" s="293">
        <v>31</v>
      </c>
      <c r="B37" s="294" t="s">
        <v>78</v>
      </c>
      <c r="C37" s="296">
        <v>0</v>
      </c>
      <c r="D37" s="296">
        <v>0</v>
      </c>
      <c r="E37" s="296">
        <v>0</v>
      </c>
      <c r="F37" s="296">
        <v>0</v>
      </c>
      <c r="G37" s="296">
        <v>0</v>
      </c>
      <c r="H37" s="296">
        <v>0</v>
      </c>
      <c r="I37" s="296">
        <v>0</v>
      </c>
      <c r="J37" s="296">
        <v>0</v>
      </c>
      <c r="K37" s="296">
        <v>0</v>
      </c>
      <c r="L37" s="296">
        <v>0</v>
      </c>
      <c r="M37" s="296">
        <v>0</v>
      </c>
      <c r="N37" s="296">
        <v>0</v>
      </c>
      <c r="O37" s="296">
        <f t="shared" si="5"/>
        <v>0</v>
      </c>
      <c r="P37" s="296">
        <f t="shared" si="6"/>
        <v>0</v>
      </c>
    </row>
    <row r="38" spans="1:16" ht="15" customHeight="1" x14ac:dyDescent="0.2">
      <c r="A38" s="293">
        <v>32</v>
      </c>
      <c r="B38" s="294" t="s">
        <v>51</v>
      </c>
      <c r="C38" s="296">
        <v>0</v>
      </c>
      <c r="D38" s="296">
        <v>0</v>
      </c>
      <c r="E38" s="296">
        <v>0</v>
      </c>
      <c r="F38" s="296">
        <v>0</v>
      </c>
      <c r="G38" s="296">
        <v>0</v>
      </c>
      <c r="H38" s="296">
        <v>0</v>
      </c>
      <c r="I38" s="296">
        <v>0</v>
      </c>
      <c r="J38" s="296">
        <v>0</v>
      </c>
      <c r="K38" s="296">
        <v>0</v>
      </c>
      <c r="L38" s="296">
        <v>0</v>
      </c>
      <c r="M38" s="296">
        <v>0</v>
      </c>
      <c r="N38" s="296">
        <v>0</v>
      </c>
      <c r="O38" s="296">
        <f t="shared" si="5"/>
        <v>0</v>
      </c>
      <c r="P38" s="296">
        <f t="shared" si="6"/>
        <v>0</v>
      </c>
    </row>
    <row r="39" spans="1:16" ht="15" customHeight="1" x14ac:dyDescent="0.2">
      <c r="A39" s="293">
        <v>33</v>
      </c>
      <c r="B39" s="294" t="s">
        <v>217</v>
      </c>
      <c r="C39" s="296">
        <v>0</v>
      </c>
      <c r="D39" s="296">
        <v>0</v>
      </c>
      <c r="E39" s="296">
        <v>0</v>
      </c>
      <c r="F39" s="296">
        <v>0</v>
      </c>
      <c r="G39" s="296">
        <v>0</v>
      </c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f t="shared" si="5"/>
        <v>0</v>
      </c>
      <c r="P39" s="296">
        <f t="shared" si="6"/>
        <v>0</v>
      </c>
    </row>
    <row r="40" spans="1:16" ht="15" customHeight="1" x14ac:dyDescent="0.2">
      <c r="A40" s="293">
        <v>34</v>
      </c>
      <c r="B40" s="294" t="s">
        <v>218</v>
      </c>
      <c r="C40" s="296">
        <v>0</v>
      </c>
      <c r="D40" s="296">
        <v>0</v>
      </c>
      <c r="E40" s="296">
        <v>0</v>
      </c>
      <c r="F40" s="296">
        <v>0</v>
      </c>
      <c r="G40" s="296">
        <v>0</v>
      </c>
      <c r="H40" s="296">
        <v>0</v>
      </c>
      <c r="I40" s="296">
        <v>0</v>
      </c>
      <c r="J40" s="296">
        <v>0</v>
      </c>
      <c r="K40" s="296">
        <v>0</v>
      </c>
      <c r="L40" s="296">
        <v>0</v>
      </c>
      <c r="M40" s="296">
        <v>0</v>
      </c>
      <c r="N40" s="296">
        <v>0</v>
      </c>
      <c r="O40" s="296">
        <f t="shared" si="5"/>
        <v>0</v>
      </c>
      <c r="P40" s="296">
        <f t="shared" si="6"/>
        <v>0</v>
      </c>
    </row>
    <row r="41" spans="1:16" ht="15" customHeight="1" x14ac:dyDescent="0.2">
      <c r="A41" s="293">
        <v>35</v>
      </c>
      <c r="B41" s="294" t="s">
        <v>219</v>
      </c>
      <c r="C41" s="296">
        <v>64</v>
      </c>
      <c r="D41" s="296">
        <v>591.91</v>
      </c>
      <c r="E41" s="296">
        <v>78</v>
      </c>
      <c r="F41" s="296">
        <v>189.57</v>
      </c>
      <c r="G41" s="296">
        <v>0</v>
      </c>
      <c r="H41" s="296">
        <v>0</v>
      </c>
      <c r="I41" s="296">
        <v>18</v>
      </c>
      <c r="J41" s="296">
        <v>48.48</v>
      </c>
      <c r="K41" s="296">
        <v>2</v>
      </c>
      <c r="L41" s="296">
        <v>5.95</v>
      </c>
      <c r="M41" s="296">
        <v>0</v>
      </c>
      <c r="N41" s="296">
        <v>0</v>
      </c>
      <c r="O41" s="296">
        <f t="shared" si="5"/>
        <v>162</v>
      </c>
      <c r="P41" s="296">
        <f t="shared" si="6"/>
        <v>835.91000000000008</v>
      </c>
    </row>
    <row r="42" spans="1:16" ht="15" customHeight="1" x14ac:dyDescent="0.2">
      <c r="A42" s="293">
        <v>36</v>
      </c>
      <c r="B42" s="294" t="s">
        <v>71</v>
      </c>
      <c r="C42" s="296">
        <v>57</v>
      </c>
      <c r="D42" s="296">
        <v>63</v>
      </c>
      <c r="E42" s="296">
        <v>5121</v>
      </c>
      <c r="F42" s="296">
        <v>4868</v>
      </c>
      <c r="G42" s="296">
        <v>3</v>
      </c>
      <c r="H42" s="296">
        <v>1</v>
      </c>
      <c r="I42" s="296">
        <v>254</v>
      </c>
      <c r="J42" s="296">
        <v>1099</v>
      </c>
      <c r="K42" s="296">
        <v>1</v>
      </c>
      <c r="L42" s="296">
        <v>1</v>
      </c>
      <c r="M42" s="296">
        <v>66</v>
      </c>
      <c r="N42" s="296">
        <v>178</v>
      </c>
      <c r="O42" s="296">
        <f t="shared" si="5"/>
        <v>5502</v>
      </c>
      <c r="P42" s="296">
        <f t="shared" si="6"/>
        <v>6210</v>
      </c>
    </row>
    <row r="43" spans="1:16" ht="15" customHeight="1" x14ac:dyDescent="0.2">
      <c r="A43" s="293">
        <v>37</v>
      </c>
      <c r="B43" s="294" t="s">
        <v>72</v>
      </c>
      <c r="C43" s="296">
        <v>107</v>
      </c>
      <c r="D43" s="296">
        <v>270</v>
      </c>
      <c r="E43" s="296">
        <v>3587</v>
      </c>
      <c r="F43" s="296">
        <v>7318</v>
      </c>
      <c r="G43" s="296">
        <v>21</v>
      </c>
      <c r="H43" s="296">
        <v>42</v>
      </c>
      <c r="I43" s="296">
        <v>377</v>
      </c>
      <c r="J43" s="296">
        <v>1899</v>
      </c>
      <c r="K43" s="296">
        <v>156</v>
      </c>
      <c r="L43" s="296">
        <v>192</v>
      </c>
      <c r="M43" s="296">
        <v>114</v>
      </c>
      <c r="N43" s="296">
        <v>1566</v>
      </c>
      <c r="O43" s="296">
        <f t="shared" si="5"/>
        <v>4362</v>
      </c>
      <c r="P43" s="296">
        <f t="shared" si="6"/>
        <v>11287</v>
      </c>
    </row>
    <row r="44" spans="1:16" ht="15" customHeight="1" x14ac:dyDescent="0.2">
      <c r="A44" s="293">
        <v>38</v>
      </c>
      <c r="B44" s="294" t="s">
        <v>220</v>
      </c>
      <c r="C44" s="296">
        <v>167</v>
      </c>
      <c r="D44" s="296">
        <v>7</v>
      </c>
      <c r="E44" s="296">
        <v>8190</v>
      </c>
      <c r="F44" s="296">
        <v>567</v>
      </c>
      <c r="G44" s="296">
        <v>1</v>
      </c>
      <c r="H44" s="296">
        <v>0.2</v>
      </c>
      <c r="I44" s="296">
        <v>73</v>
      </c>
      <c r="J44" s="296">
        <v>12</v>
      </c>
      <c r="K44" s="296">
        <v>1</v>
      </c>
      <c r="L44" s="296">
        <v>0.2</v>
      </c>
      <c r="M44" s="296">
        <v>22</v>
      </c>
      <c r="N44" s="296">
        <v>11</v>
      </c>
      <c r="O44" s="296">
        <f t="shared" si="5"/>
        <v>8454</v>
      </c>
      <c r="P44" s="296">
        <f t="shared" si="6"/>
        <v>597.40000000000009</v>
      </c>
    </row>
    <row r="45" spans="1:16" ht="15" customHeight="1" x14ac:dyDescent="0.2">
      <c r="A45" s="293">
        <v>39</v>
      </c>
      <c r="B45" s="294" t="s">
        <v>221</v>
      </c>
      <c r="C45" s="296">
        <v>13</v>
      </c>
      <c r="D45" s="296">
        <v>21</v>
      </c>
      <c r="E45" s="296">
        <v>768</v>
      </c>
      <c r="F45" s="296">
        <v>1506</v>
      </c>
      <c r="G45" s="296">
        <v>0</v>
      </c>
      <c r="H45" s="296">
        <v>0</v>
      </c>
      <c r="I45" s="296">
        <v>28</v>
      </c>
      <c r="J45" s="296">
        <v>81</v>
      </c>
      <c r="K45" s="296">
        <v>0</v>
      </c>
      <c r="L45" s="296">
        <v>0</v>
      </c>
      <c r="M45" s="296">
        <v>77</v>
      </c>
      <c r="N45" s="296">
        <v>313</v>
      </c>
      <c r="O45" s="296">
        <f t="shared" si="5"/>
        <v>886</v>
      </c>
      <c r="P45" s="296">
        <f t="shared" si="6"/>
        <v>1921</v>
      </c>
    </row>
    <row r="46" spans="1:16" ht="15" customHeight="1" x14ac:dyDescent="0.2">
      <c r="A46" s="293">
        <v>40</v>
      </c>
      <c r="B46" s="294" t="s">
        <v>222</v>
      </c>
      <c r="C46" s="296">
        <v>0</v>
      </c>
      <c r="D46" s="296">
        <v>0</v>
      </c>
      <c r="E46" s="296">
        <v>0</v>
      </c>
      <c r="F46" s="296">
        <v>0</v>
      </c>
      <c r="G46" s="296">
        <v>0</v>
      </c>
      <c r="H46" s="296">
        <v>0</v>
      </c>
      <c r="I46" s="296">
        <v>0</v>
      </c>
      <c r="J46" s="296">
        <v>0</v>
      </c>
      <c r="K46" s="296">
        <v>0</v>
      </c>
      <c r="L46" s="296">
        <v>0</v>
      </c>
      <c r="M46" s="296">
        <v>0</v>
      </c>
      <c r="N46" s="296">
        <v>0</v>
      </c>
      <c r="O46" s="296">
        <f t="shared" si="5"/>
        <v>0</v>
      </c>
      <c r="P46" s="296">
        <f t="shared" si="6"/>
        <v>0</v>
      </c>
    </row>
    <row r="47" spans="1:16" ht="15" customHeight="1" x14ac:dyDescent="0.2">
      <c r="A47" s="293">
        <v>41</v>
      </c>
      <c r="B47" s="294" t="s">
        <v>223</v>
      </c>
      <c r="C47" s="296">
        <v>2</v>
      </c>
      <c r="D47" s="296">
        <v>43.76</v>
      </c>
      <c r="E47" s="296">
        <v>23</v>
      </c>
      <c r="F47" s="296">
        <v>231.81</v>
      </c>
      <c r="G47" s="296">
        <v>0</v>
      </c>
      <c r="H47" s="296">
        <v>0</v>
      </c>
      <c r="I47" s="296">
        <v>0</v>
      </c>
      <c r="J47" s="296">
        <v>0</v>
      </c>
      <c r="K47" s="296">
        <v>0</v>
      </c>
      <c r="L47" s="296">
        <v>0</v>
      </c>
      <c r="M47" s="296">
        <v>7</v>
      </c>
      <c r="N47" s="296">
        <v>54.12</v>
      </c>
      <c r="O47" s="296">
        <f t="shared" si="5"/>
        <v>32</v>
      </c>
      <c r="P47" s="296">
        <f t="shared" si="6"/>
        <v>329.69</v>
      </c>
    </row>
    <row r="48" spans="1:16" ht="15" customHeight="1" x14ac:dyDescent="0.2">
      <c r="A48" s="293">
        <v>42</v>
      </c>
      <c r="B48" s="294" t="s">
        <v>224</v>
      </c>
      <c r="C48" s="296">
        <v>0</v>
      </c>
      <c r="D48" s="296">
        <v>0</v>
      </c>
      <c r="E48" s="296">
        <v>0</v>
      </c>
      <c r="F48" s="296">
        <v>0</v>
      </c>
      <c r="G48" s="296">
        <v>0</v>
      </c>
      <c r="H48" s="296">
        <v>0</v>
      </c>
      <c r="I48" s="296">
        <v>0</v>
      </c>
      <c r="J48" s="296">
        <v>0</v>
      </c>
      <c r="K48" s="296">
        <v>0</v>
      </c>
      <c r="L48" s="296">
        <v>0</v>
      </c>
      <c r="M48" s="296">
        <v>0</v>
      </c>
      <c r="N48" s="296">
        <v>0</v>
      </c>
      <c r="O48" s="296">
        <f t="shared" si="5"/>
        <v>0</v>
      </c>
      <c r="P48" s="296">
        <f t="shared" si="6"/>
        <v>0</v>
      </c>
    </row>
    <row r="49" spans="1:16" ht="15" customHeight="1" x14ac:dyDescent="0.2">
      <c r="A49" s="293">
        <v>43</v>
      </c>
      <c r="B49" s="294" t="s">
        <v>73</v>
      </c>
      <c r="C49" s="296">
        <v>3</v>
      </c>
      <c r="D49" s="296">
        <v>6</v>
      </c>
      <c r="E49" s="296">
        <v>227</v>
      </c>
      <c r="F49" s="296">
        <v>987</v>
      </c>
      <c r="G49" s="296">
        <v>2</v>
      </c>
      <c r="H49" s="296">
        <v>5</v>
      </c>
      <c r="I49" s="296">
        <v>53</v>
      </c>
      <c r="J49" s="296">
        <v>209</v>
      </c>
      <c r="K49" s="296">
        <v>0</v>
      </c>
      <c r="L49" s="296">
        <v>0</v>
      </c>
      <c r="M49" s="296">
        <v>19</v>
      </c>
      <c r="N49" s="296">
        <v>213</v>
      </c>
      <c r="O49" s="296">
        <f t="shared" si="5"/>
        <v>304</v>
      </c>
      <c r="P49" s="296">
        <f t="shared" si="6"/>
        <v>1420</v>
      </c>
    </row>
    <row r="50" spans="1:16" ht="15" customHeight="1" x14ac:dyDescent="0.2">
      <c r="A50" s="293">
        <v>44</v>
      </c>
      <c r="B50" s="294" t="s">
        <v>225</v>
      </c>
      <c r="C50" s="296">
        <v>0</v>
      </c>
      <c r="D50" s="296">
        <v>0</v>
      </c>
      <c r="E50" s="296">
        <v>0</v>
      </c>
      <c r="F50" s="296">
        <v>0</v>
      </c>
      <c r="G50" s="296">
        <v>0</v>
      </c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f t="shared" si="5"/>
        <v>0</v>
      </c>
      <c r="P50" s="296">
        <f t="shared" si="6"/>
        <v>0</v>
      </c>
    </row>
    <row r="51" spans="1:16" ht="15" customHeight="1" x14ac:dyDescent="0.2">
      <c r="A51" s="293">
        <v>45</v>
      </c>
      <c r="B51" s="294" t="s">
        <v>226</v>
      </c>
      <c r="C51" s="296">
        <v>1</v>
      </c>
      <c r="D51" s="296">
        <v>0.21</v>
      </c>
      <c r="E51" s="296">
        <v>1795</v>
      </c>
      <c r="F51" s="296">
        <v>365</v>
      </c>
      <c r="G51" s="296">
        <v>6</v>
      </c>
      <c r="H51" s="296">
        <v>1</v>
      </c>
      <c r="I51" s="296">
        <v>7</v>
      </c>
      <c r="J51" s="296">
        <v>2</v>
      </c>
      <c r="K51" s="296">
        <v>0</v>
      </c>
      <c r="L51" s="296">
        <v>0</v>
      </c>
      <c r="M51" s="296">
        <v>0</v>
      </c>
      <c r="N51" s="296">
        <v>0</v>
      </c>
      <c r="O51" s="296">
        <f t="shared" si="5"/>
        <v>1809</v>
      </c>
      <c r="P51" s="296">
        <f t="shared" si="6"/>
        <v>368.21</v>
      </c>
    </row>
    <row r="52" spans="1:16" ht="15" customHeight="1" x14ac:dyDescent="0.2">
      <c r="A52" s="293">
        <v>46</v>
      </c>
      <c r="B52" s="294" t="s">
        <v>227</v>
      </c>
      <c r="C52" s="296">
        <v>3</v>
      </c>
      <c r="D52" s="296">
        <v>20</v>
      </c>
      <c r="E52" s="296">
        <v>2</v>
      </c>
      <c r="F52" s="296">
        <v>17</v>
      </c>
      <c r="G52" s="296">
        <v>1</v>
      </c>
      <c r="H52" s="296">
        <v>1</v>
      </c>
      <c r="I52" s="296">
        <v>3</v>
      </c>
      <c r="J52" s="296">
        <v>6</v>
      </c>
      <c r="K52" s="296">
        <v>0</v>
      </c>
      <c r="L52" s="296">
        <v>0</v>
      </c>
      <c r="M52" s="296">
        <v>0</v>
      </c>
      <c r="N52" s="296">
        <v>0</v>
      </c>
      <c r="O52" s="296">
        <f t="shared" si="5"/>
        <v>9</v>
      </c>
      <c r="P52" s="296">
        <f t="shared" si="6"/>
        <v>44</v>
      </c>
    </row>
    <row r="53" spans="1:16" ht="15" customHeight="1" x14ac:dyDescent="0.2">
      <c r="A53" s="293">
        <v>47</v>
      </c>
      <c r="B53" s="294" t="s">
        <v>77</v>
      </c>
      <c r="C53" s="296">
        <v>0</v>
      </c>
      <c r="D53" s="296">
        <v>0</v>
      </c>
      <c r="E53" s="296">
        <v>0</v>
      </c>
      <c r="F53" s="296">
        <v>0</v>
      </c>
      <c r="G53" s="296">
        <v>0</v>
      </c>
      <c r="H53" s="296">
        <v>0</v>
      </c>
      <c r="I53" s="296">
        <v>0</v>
      </c>
      <c r="J53" s="296">
        <v>0</v>
      </c>
      <c r="K53" s="296">
        <v>0</v>
      </c>
      <c r="L53" s="296">
        <v>0</v>
      </c>
      <c r="M53" s="296">
        <v>0</v>
      </c>
      <c r="N53" s="296">
        <v>0</v>
      </c>
      <c r="O53" s="296">
        <f t="shared" si="5"/>
        <v>0</v>
      </c>
      <c r="P53" s="296">
        <f t="shared" si="6"/>
        <v>0</v>
      </c>
    </row>
    <row r="54" spans="1:16" ht="15" customHeight="1" x14ac:dyDescent="0.2">
      <c r="A54" s="293">
        <v>48</v>
      </c>
      <c r="B54" s="294" t="s">
        <v>228</v>
      </c>
      <c r="C54" s="296">
        <v>0</v>
      </c>
      <c r="D54" s="296">
        <v>0</v>
      </c>
      <c r="E54" s="296">
        <v>0</v>
      </c>
      <c r="F54" s="296">
        <v>0</v>
      </c>
      <c r="G54" s="296">
        <v>0</v>
      </c>
      <c r="H54" s="296">
        <v>0</v>
      </c>
      <c r="I54" s="296">
        <v>0</v>
      </c>
      <c r="J54" s="296">
        <v>0</v>
      </c>
      <c r="K54" s="296">
        <v>0</v>
      </c>
      <c r="L54" s="296">
        <v>0</v>
      </c>
      <c r="M54" s="296">
        <v>0</v>
      </c>
      <c r="N54" s="296">
        <v>0</v>
      </c>
      <c r="O54" s="296">
        <f t="shared" si="5"/>
        <v>0</v>
      </c>
      <c r="P54" s="296">
        <f t="shared" si="6"/>
        <v>0</v>
      </c>
    </row>
    <row r="55" spans="1:16" ht="15" customHeight="1" x14ac:dyDescent="0.2">
      <c r="A55" s="293">
        <v>49</v>
      </c>
      <c r="B55" s="294" t="s">
        <v>76</v>
      </c>
      <c r="C55" s="296">
        <v>0</v>
      </c>
      <c r="D55" s="296">
        <v>0</v>
      </c>
      <c r="E55" s="296">
        <v>1</v>
      </c>
      <c r="F55" s="296">
        <v>22.01</v>
      </c>
      <c r="G55" s="296">
        <v>0</v>
      </c>
      <c r="H55" s="296">
        <v>0</v>
      </c>
      <c r="I55" s="296">
        <v>0</v>
      </c>
      <c r="J55" s="296">
        <v>0</v>
      </c>
      <c r="K55" s="296">
        <v>0</v>
      </c>
      <c r="L55" s="296">
        <v>0</v>
      </c>
      <c r="M55" s="296">
        <v>6</v>
      </c>
      <c r="N55" s="296">
        <v>501</v>
      </c>
      <c r="O55" s="296">
        <f t="shared" si="5"/>
        <v>7</v>
      </c>
      <c r="P55" s="296">
        <f t="shared" si="6"/>
        <v>523.01</v>
      </c>
    </row>
    <row r="56" spans="1:16" s="286" customFormat="1" ht="15" customHeight="1" x14ac:dyDescent="0.2">
      <c r="A56" s="302" t="s">
        <v>348</v>
      </c>
      <c r="B56" s="303" t="s">
        <v>289</v>
      </c>
      <c r="C56" s="300">
        <f>SUM(C34:C55)</f>
        <v>435</v>
      </c>
      <c r="D56" s="300">
        <f t="shared" ref="D56:N56" si="7">SUM(D34:D55)</f>
        <v>1087.8300000000002</v>
      </c>
      <c r="E56" s="300">
        <f t="shared" si="7"/>
        <v>20772</v>
      </c>
      <c r="F56" s="300">
        <f t="shared" si="7"/>
        <v>17770.959999999995</v>
      </c>
      <c r="G56" s="300">
        <f t="shared" si="7"/>
        <v>34</v>
      </c>
      <c r="H56" s="300">
        <f t="shared" si="7"/>
        <v>50.2</v>
      </c>
      <c r="I56" s="300">
        <f t="shared" si="7"/>
        <v>928</v>
      </c>
      <c r="J56" s="300">
        <f t="shared" si="7"/>
        <v>3825.87</v>
      </c>
      <c r="K56" s="300">
        <f t="shared" si="7"/>
        <v>160</v>
      </c>
      <c r="L56" s="300">
        <f t="shared" si="7"/>
        <v>199.14999999999998</v>
      </c>
      <c r="M56" s="300">
        <f t="shared" si="7"/>
        <v>311</v>
      </c>
      <c r="N56" s="300">
        <f t="shared" si="7"/>
        <v>2836.12</v>
      </c>
      <c r="O56" s="300">
        <f t="shared" ref="O56" si="8">SUM(O34:O55)</f>
        <v>22640</v>
      </c>
      <c r="P56" s="300">
        <f t="shared" ref="P56" si="9">SUM(P34:P55)</f>
        <v>25770.129999999997</v>
      </c>
    </row>
    <row r="57" spans="1:16" ht="15" customHeight="1" x14ac:dyDescent="0.2">
      <c r="A57" s="293">
        <v>50</v>
      </c>
      <c r="B57" s="294" t="s">
        <v>46</v>
      </c>
      <c r="C57" s="296">
        <v>283</v>
      </c>
      <c r="D57" s="296">
        <v>187</v>
      </c>
      <c r="E57" s="296">
        <v>3947</v>
      </c>
      <c r="F57" s="296">
        <v>2299</v>
      </c>
      <c r="G57" s="296">
        <v>113</v>
      </c>
      <c r="H57" s="296">
        <v>109</v>
      </c>
      <c r="I57" s="296">
        <v>35</v>
      </c>
      <c r="J57" s="296">
        <v>58</v>
      </c>
      <c r="K57" s="296">
        <v>0</v>
      </c>
      <c r="L57" s="296">
        <v>0</v>
      </c>
      <c r="M57" s="296">
        <v>1876</v>
      </c>
      <c r="N57" s="296">
        <v>4563</v>
      </c>
      <c r="O57" s="296">
        <f t="shared" si="5"/>
        <v>6254</v>
      </c>
      <c r="P57" s="296">
        <f t="shared" si="6"/>
        <v>7216</v>
      </c>
    </row>
    <row r="58" spans="1:16" ht="15" customHeight="1" x14ac:dyDescent="0.2">
      <c r="A58" s="293">
        <v>51</v>
      </c>
      <c r="B58" s="294" t="s">
        <v>229</v>
      </c>
      <c r="C58" s="296">
        <v>0</v>
      </c>
      <c r="D58" s="296">
        <v>0</v>
      </c>
      <c r="E58" s="296">
        <v>252</v>
      </c>
      <c r="F58" s="296">
        <v>67</v>
      </c>
      <c r="G58" s="296">
        <v>0</v>
      </c>
      <c r="H58" s="296">
        <v>0</v>
      </c>
      <c r="I58" s="296">
        <v>32</v>
      </c>
      <c r="J58" s="296">
        <v>44</v>
      </c>
      <c r="K58" s="296">
        <v>0</v>
      </c>
      <c r="L58" s="296">
        <v>0</v>
      </c>
      <c r="M58" s="296">
        <v>1988</v>
      </c>
      <c r="N58" s="296">
        <v>541</v>
      </c>
      <c r="O58" s="296">
        <f t="shared" si="5"/>
        <v>2272</v>
      </c>
      <c r="P58" s="296">
        <f t="shared" si="6"/>
        <v>652</v>
      </c>
    </row>
    <row r="59" spans="1:16" ht="15" customHeight="1" x14ac:dyDescent="0.2">
      <c r="A59" s="305">
        <v>52</v>
      </c>
      <c r="B59" s="301" t="s">
        <v>52</v>
      </c>
      <c r="C59" s="296">
        <v>0</v>
      </c>
      <c r="D59" s="296">
        <v>0</v>
      </c>
      <c r="E59" s="296">
        <v>78</v>
      </c>
      <c r="F59" s="296">
        <v>53</v>
      </c>
      <c r="G59" s="296">
        <v>0</v>
      </c>
      <c r="H59" s="296">
        <v>0</v>
      </c>
      <c r="I59" s="296">
        <v>0</v>
      </c>
      <c r="J59" s="296">
        <v>0</v>
      </c>
      <c r="K59" s="296">
        <v>0</v>
      </c>
      <c r="L59" s="296">
        <v>0</v>
      </c>
      <c r="M59" s="296">
        <v>53</v>
      </c>
      <c r="N59" s="296">
        <v>43</v>
      </c>
      <c r="O59" s="296">
        <f t="shared" si="5"/>
        <v>131</v>
      </c>
      <c r="P59" s="296">
        <f t="shared" si="6"/>
        <v>96</v>
      </c>
    </row>
    <row r="60" spans="1:16" s="286" customFormat="1" ht="15" customHeight="1" x14ac:dyDescent="0.2">
      <c r="A60" s="306"/>
      <c r="B60" s="304" t="s">
        <v>295</v>
      </c>
      <c r="C60" s="300">
        <f>SUM(C57:C59)</f>
        <v>283</v>
      </c>
      <c r="D60" s="300">
        <f t="shared" ref="D60:N60" si="10">SUM(D57:D59)</f>
        <v>187</v>
      </c>
      <c r="E60" s="300">
        <f t="shared" si="10"/>
        <v>4277</v>
      </c>
      <c r="F60" s="300">
        <f t="shared" si="10"/>
        <v>2419</v>
      </c>
      <c r="G60" s="300">
        <f t="shared" si="10"/>
        <v>113</v>
      </c>
      <c r="H60" s="300">
        <f t="shared" si="10"/>
        <v>109</v>
      </c>
      <c r="I60" s="300">
        <f t="shared" si="10"/>
        <v>67</v>
      </c>
      <c r="J60" s="300">
        <f t="shared" si="10"/>
        <v>102</v>
      </c>
      <c r="K60" s="300">
        <f t="shared" si="10"/>
        <v>0</v>
      </c>
      <c r="L60" s="300">
        <f t="shared" si="10"/>
        <v>0</v>
      </c>
      <c r="M60" s="300">
        <f t="shared" si="10"/>
        <v>3917</v>
      </c>
      <c r="N60" s="300">
        <f t="shared" si="10"/>
        <v>5147</v>
      </c>
      <c r="O60" s="300">
        <f t="shared" ref="O60" si="11">SUM(O57:O59)</f>
        <v>8657</v>
      </c>
      <c r="P60" s="300">
        <f t="shared" ref="P60" si="12">SUM(P57:P59)</f>
        <v>7964</v>
      </c>
    </row>
    <row r="61" spans="1:16" ht="15" customHeight="1" x14ac:dyDescent="0.2">
      <c r="A61" s="305">
        <v>53</v>
      </c>
      <c r="B61" s="301" t="s">
        <v>290</v>
      </c>
      <c r="C61" s="296">
        <v>328</v>
      </c>
      <c r="D61" s="296">
        <v>66.48</v>
      </c>
      <c r="E61" s="296">
        <v>12179</v>
      </c>
      <c r="F61" s="296">
        <v>5304.98</v>
      </c>
      <c r="G61" s="296">
        <v>591</v>
      </c>
      <c r="H61" s="296">
        <v>134.30000000000001</v>
      </c>
      <c r="I61" s="296">
        <v>647</v>
      </c>
      <c r="J61" s="296">
        <v>9336.43</v>
      </c>
      <c r="K61" s="296">
        <v>0</v>
      </c>
      <c r="L61" s="296">
        <v>0</v>
      </c>
      <c r="M61" s="296">
        <v>2633</v>
      </c>
      <c r="N61" s="296">
        <v>876.66</v>
      </c>
      <c r="O61" s="296">
        <f t="shared" si="5"/>
        <v>16378</v>
      </c>
      <c r="P61" s="296">
        <f t="shared" si="6"/>
        <v>15718.849999999999</v>
      </c>
    </row>
    <row r="62" spans="1:16" s="286" customFormat="1" ht="15" customHeight="1" x14ac:dyDescent="0.2">
      <c r="A62" s="306" t="s">
        <v>348</v>
      </c>
      <c r="B62" s="304" t="s">
        <v>291</v>
      </c>
      <c r="C62" s="300">
        <f>C61</f>
        <v>328</v>
      </c>
      <c r="D62" s="300">
        <f t="shared" ref="D62:N62" si="13">D61</f>
        <v>66.48</v>
      </c>
      <c r="E62" s="300">
        <f t="shared" si="13"/>
        <v>12179</v>
      </c>
      <c r="F62" s="300">
        <f t="shared" si="13"/>
        <v>5304.98</v>
      </c>
      <c r="G62" s="300">
        <f t="shared" si="13"/>
        <v>591</v>
      </c>
      <c r="H62" s="300">
        <f t="shared" si="13"/>
        <v>134.30000000000001</v>
      </c>
      <c r="I62" s="300">
        <f t="shared" si="13"/>
        <v>647</v>
      </c>
      <c r="J62" s="300">
        <f t="shared" si="13"/>
        <v>9336.43</v>
      </c>
      <c r="K62" s="300">
        <f t="shared" si="13"/>
        <v>0</v>
      </c>
      <c r="L62" s="300">
        <f t="shared" si="13"/>
        <v>0</v>
      </c>
      <c r="M62" s="300">
        <f t="shared" si="13"/>
        <v>2633</v>
      </c>
      <c r="N62" s="300">
        <f t="shared" si="13"/>
        <v>876.66</v>
      </c>
      <c r="O62" s="300">
        <f t="shared" ref="O62" si="14">O61</f>
        <v>16378</v>
      </c>
      <c r="P62" s="300">
        <f t="shared" ref="P62" si="15">P61</f>
        <v>15718.849999999999</v>
      </c>
    </row>
    <row r="63" spans="1:16" s="286" customFormat="1" ht="15" customHeight="1" x14ac:dyDescent="0.2">
      <c r="A63" s="306" t="s">
        <v>348</v>
      </c>
      <c r="B63" s="304" t="s">
        <v>292</v>
      </c>
      <c r="C63" s="300">
        <f>C62+C60+C56+C33</f>
        <v>3557</v>
      </c>
      <c r="D63" s="300">
        <f t="shared" ref="D63:N63" si="16">D62+D60+D56+D33</f>
        <v>6801.34</v>
      </c>
      <c r="E63" s="300">
        <f t="shared" si="16"/>
        <v>62748</v>
      </c>
      <c r="F63" s="300">
        <f t="shared" si="16"/>
        <v>66893.579999999987</v>
      </c>
      <c r="G63" s="300">
        <f t="shared" si="16"/>
        <v>886</v>
      </c>
      <c r="H63" s="300">
        <f t="shared" si="16"/>
        <v>514.91999999999996</v>
      </c>
      <c r="I63" s="300">
        <f t="shared" si="16"/>
        <v>4499</v>
      </c>
      <c r="J63" s="300">
        <f t="shared" si="16"/>
        <v>34144.589999999997</v>
      </c>
      <c r="K63" s="300">
        <f t="shared" si="16"/>
        <v>181</v>
      </c>
      <c r="L63" s="300">
        <f t="shared" si="16"/>
        <v>218.14999999999998</v>
      </c>
      <c r="M63" s="300">
        <f t="shared" si="16"/>
        <v>10121</v>
      </c>
      <c r="N63" s="300">
        <f t="shared" si="16"/>
        <v>34062.629999999997</v>
      </c>
      <c r="O63" s="300">
        <f t="shared" ref="O63" si="17">O62+O60+O56+O33</f>
        <v>81992</v>
      </c>
      <c r="P63" s="300">
        <f t="shared" ref="P63" si="18">P62+P60+P56+P33</f>
        <v>142635.21000000002</v>
      </c>
    </row>
    <row r="64" spans="1:16" x14ac:dyDescent="0.2">
      <c r="D64" s="419" t="s">
        <v>1233</v>
      </c>
    </row>
    <row r="66" spans="3:18" x14ac:dyDescent="0.2">
      <c r="C66" s="451">
        <v>2776</v>
      </c>
      <c r="D66" s="451">
        <v>6953.64</v>
      </c>
      <c r="E66" s="451">
        <v>49851</v>
      </c>
      <c r="F66" s="451">
        <v>61412.95</v>
      </c>
      <c r="G66" s="451">
        <v>850</v>
      </c>
      <c r="H66" s="451">
        <v>638.87</v>
      </c>
      <c r="I66" s="451">
        <v>3934</v>
      </c>
      <c r="J66" s="451">
        <v>38607</v>
      </c>
      <c r="K66" s="451">
        <v>176</v>
      </c>
      <c r="L66" s="451">
        <v>191.7</v>
      </c>
      <c r="M66" s="451">
        <v>9013</v>
      </c>
      <c r="N66" s="451">
        <v>31107.460000000003</v>
      </c>
      <c r="O66" s="451">
        <v>66600</v>
      </c>
      <c r="P66" s="451">
        <v>138911.61999999997</v>
      </c>
      <c r="Q66" s="452"/>
      <c r="R66" s="452"/>
    </row>
    <row r="67" spans="3:18" x14ac:dyDescent="0.2"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2"/>
      <c r="R67" s="452"/>
    </row>
    <row r="68" spans="3:18" x14ac:dyDescent="0.2">
      <c r="C68" s="453">
        <f>C63-C66</f>
        <v>781</v>
      </c>
      <c r="D68" s="453">
        <f t="shared" ref="D68:P68" si="19">D63-D66</f>
        <v>-152.30000000000018</v>
      </c>
      <c r="E68" s="453">
        <f t="shared" si="19"/>
        <v>12897</v>
      </c>
      <c r="F68" s="453">
        <f t="shared" si="19"/>
        <v>5480.6299999999901</v>
      </c>
      <c r="G68" s="453">
        <f t="shared" si="19"/>
        <v>36</v>
      </c>
      <c r="H68" s="453">
        <f t="shared" si="19"/>
        <v>-123.95000000000005</v>
      </c>
      <c r="I68" s="453">
        <f t="shared" si="19"/>
        <v>565</v>
      </c>
      <c r="J68" s="453">
        <f t="shared" si="19"/>
        <v>-4462.4100000000035</v>
      </c>
      <c r="K68" s="453">
        <f t="shared" si="19"/>
        <v>5</v>
      </c>
      <c r="L68" s="453">
        <f t="shared" si="19"/>
        <v>26.449999999999989</v>
      </c>
      <c r="M68" s="453">
        <f t="shared" si="19"/>
        <v>1108</v>
      </c>
      <c r="N68" s="453">
        <f t="shared" si="19"/>
        <v>2955.1699999999946</v>
      </c>
      <c r="O68" s="453">
        <f t="shared" si="19"/>
        <v>15392</v>
      </c>
      <c r="P68" s="453">
        <f t="shared" si="19"/>
        <v>3723.5900000000547</v>
      </c>
      <c r="Q68" s="452"/>
      <c r="R68" s="452"/>
    </row>
    <row r="69" spans="3:18" x14ac:dyDescent="0.2"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452"/>
      <c r="R69" s="452"/>
    </row>
    <row r="70" spans="3:18" x14ac:dyDescent="0.2">
      <c r="C70" s="453"/>
      <c r="D70" s="453"/>
      <c r="E70" s="453"/>
      <c r="F70" s="453"/>
      <c r="G70" s="453"/>
      <c r="H70" s="453"/>
      <c r="I70" s="453"/>
      <c r="J70" s="453"/>
      <c r="K70" s="453"/>
      <c r="L70" s="453"/>
      <c r="M70" s="453"/>
      <c r="N70" s="453"/>
      <c r="O70" s="453"/>
      <c r="P70" s="453"/>
      <c r="Q70" s="452"/>
      <c r="R70" s="452"/>
    </row>
    <row r="71" spans="3:18" x14ac:dyDescent="0.2">
      <c r="C71" s="453"/>
      <c r="D71" s="453"/>
      <c r="E71" s="453"/>
      <c r="F71" s="453"/>
      <c r="G71" s="453"/>
      <c r="H71" s="453"/>
      <c r="I71" s="453"/>
      <c r="J71" s="453"/>
      <c r="K71" s="453"/>
      <c r="L71" s="453"/>
      <c r="M71" s="453"/>
      <c r="N71" s="453"/>
      <c r="O71" s="453"/>
      <c r="P71" s="453"/>
      <c r="Q71" s="452"/>
      <c r="R71" s="452"/>
    </row>
  </sheetData>
  <mergeCells count="12">
    <mergeCell ref="M4:N4"/>
    <mergeCell ref="O4:P4"/>
    <mergeCell ref="A1:P1"/>
    <mergeCell ref="B3:D3"/>
    <mergeCell ref="M3:N3"/>
    <mergeCell ref="A4:A5"/>
    <mergeCell ref="B4:B5"/>
    <mergeCell ref="C4:D4"/>
    <mergeCell ref="E4:F4"/>
    <mergeCell ref="G4:H4"/>
    <mergeCell ref="I4:J4"/>
    <mergeCell ref="K4:L4"/>
  </mergeCells>
  <conditionalFormatting sqref="M3">
    <cfRule type="cellIs" dxfId="28" priority="8" operator="lessThan">
      <formula>0</formula>
    </cfRule>
  </conditionalFormatting>
  <conditionalFormatting sqref="B6">
    <cfRule type="duplicateValues" dxfId="27" priority="2"/>
  </conditionalFormatting>
  <conditionalFormatting sqref="B22">
    <cfRule type="duplicateValues" dxfId="26" priority="3"/>
  </conditionalFormatting>
  <conditionalFormatting sqref="B33:B34 B26:B30">
    <cfRule type="duplicateValues" dxfId="25" priority="4"/>
  </conditionalFormatting>
  <conditionalFormatting sqref="B51">
    <cfRule type="duplicateValues" dxfId="24" priority="5"/>
  </conditionalFormatting>
  <conditionalFormatting sqref="B55">
    <cfRule type="duplicateValues" dxfId="23" priority="6"/>
  </conditionalFormatting>
  <conditionalFormatting sqref="B57">
    <cfRule type="duplicateValues" dxfId="22" priority="7"/>
  </conditionalFormatting>
  <pageMargins left="0.25" right="0.25" top="0.75" bottom="0.75" header="0.3" footer="0.3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view="pageBreakPreview" zoomScale="60" zoomScaleNormal="100" workbookViewId="0">
      <pane xSplit="2" ySplit="5" topLeftCell="C39" activePane="bottomRight" state="frozen"/>
      <selection pane="topRight" activeCell="C1" sqref="C1"/>
      <selection pane="bottomLeft" activeCell="A6" sqref="A6"/>
      <selection pane="bottomRight" activeCell="H63" sqref="H63"/>
    </sheetView>
  </sheetViews>
  <sheetFormatPr defaultRowHeight="12.75" x14ac:dyDescent="0.2"/>
  <cols>
    <col min="1" max="1" width="9.140625" style="4"/>
    <col min="2" max="2" width="24.42578125" style="4" bestFit="1" customWidth="1"/>
    <col min="3" max="3" width="13.28515625" style="4" customWidth="1"/>
    <col min="4" max="4" width="14.85546875" style="4" customWidth="1"/>
    <col min="5" max="5" width="13.42578125" style="4" customWidth="1"/>
    <col min="6" max="6" width="14.5703125" style="5" customWidth="1"/>
    <col min="7" max="16384" width="9.140625" style="4"/>
  </cols>
  <sheetData>
    <row r="1" spans="1:8" ht="15.75" customHeight="1" x14ac:dyDescent="0.2">
      <c r="A1" s="536" t="s">
        <v>371</v>
      </c>
      <c r="B1" s="536"/>
      <c r="C1" s="536"/>
      <c r="D1" s="536"/>
      <c r="E1" s="536"/>
      <c r="F1" s="536"/>
    </row>
    <row r="2" spans="1:8" ht="14.25" x14ac:dyDescent="0.2">
      <c r="A2" s="48"/>
      <c r="B2" s="48"/>
      <c r="C2" s="48"/>
      <c r="D2" s="48"/>
      <c r="E2" s="48"/>
      <c r="F2" s="195"/>
    </row>
    <row r="3" spans="1:8" ht="15" customHeight="1" x14ac:dyDescent="0.2">
      <c r="A3" s="33"/>
      <c r="B3" s="575" t="s">
        <v>12</v>
      </c>
      <c r="C3" s="575"/>
      <c r="D3" s="575"/>
      <c r="F3" s="206" t="s">
        <v>186</v>
      </c>
    </row>
    <row r="4" spans="1:8" ht="14.25" customHeight="1" x14ac:dyDescent="0.2">
      <c r="A4" s="559" t="s">
        <v>231</v>
      </c>
      <c r="B4" s="559" t="s">
        <v>3</v>
      </c>
      <c r="C4" s="576" t="s">
        <v>184</v>
      </c>
      <c r="D4" s="577"/>
      <c r="E4" s="532" t="s">
        <v>185</v>
      </c>
      <c r="F4" s="532"/>
    </row>
    <row r="5" spans="1:8" ht="13.5" x14ac:dyDescent="0.2">
      <c r="A5" s="560"/>
      <c r="B5" s="562"/>
      <c r="C5" s="193" t="s">
        <v>30</v>
      </c>
      <c r="D5" s="202" t="s">
        <v>17</v>
      </c>
      <c r="E5" s="193" t="s">
        <v>30</v>
      </c>
      <c r="F5" s="193" t="s">
        <v>17</v>
      </c>
    </row>
    <row r="6" spans="1:8" ht="15" customHeight="1" x14ac:dyDescent="0.2">
      <c r="A6" s="57">
        <v>1</v>
      </c>
      <c r="B6" s="58" t="s">
        <v>55</v>
      </c>
      <c r="C6" s="184">
        <v>30166</v>
      </c>
      <c r="D6" s="184">
        <v>78586</v>
      </c>
      <c r="E6" s="184">
        <v>10952</v>
      </c>
      <c r="F6" s="184">
        <v>20668</v>
      </c>
    </row>
    <row r="7" spans="1:8" ht="15" customHeight="1" x14ac:dyDescent="0.2">
      <c r="A7" s="57">
        <v>2</v>
      </c>
      <c r="B7" s="58" t="s">
        <v>56</v>
      </c>
      <c r="C7" s="174">
        <v>154</v>
      </c>
      <c r="D7" s="174">
        <v>427.54</v>
      </c>
      <c r="E7" s="174">
        <v>322</v>
      </c>
      <c r="F7" s="174">
        <v>610.73</v>
      </c>
    </row>
    <row r="8" spans="1:8" ht="15" customHeight="1" x14ac:dyDescent="0.2">
      <c r="A8" s="57">
        <v>3</v>
      </c>
      <c r="B8" s="58" t="s">
        <v>57</v>
      </c>
      <c r="C8" s="174">
        <v>11025</v>
      </c>
      <c r="D8" s="174">
        <v>12567</v>
      </c>
      <c r="E8" s="174">
        <v>10457</v>
      </c>
      <c r="F8" s="174">
        <v>9657</v>
      </c>
    </row>
    <row r="9" spans="1:8" ht="15" customHeight="1" x14ac:dyDescent="0.2">
      <c r="A9" s="57">
        <v>4</v>
      </c>
      <c r="B9" s="58" t="s">
        <v>58</v>
      </c>
      <c r="C9" s="174">
        <v>119607</v>
      </c>
      <c r="D9" s="174">
        <v>334985</v>
      </c>
      <c r="E9" s="174">
        <v>151158</v>
      </c>
      <c r="F9" s="174">
        <v>143851</v>
      </c>
    </row>
    <row r="10" spans="1:8" ht="15" customHeight="1" x14ac:dyDescent="0.2">
      <c r="A10" s="57">
        <v>5</v>
      </c>
      <c r="B10" s="58" t="s">
        <v>59</v>
      </c>
      <c r="C10" s="174">
        <v>11923</v>
      </c>
      <c r="D10" s="174">
        <v>19782</v>
      </c>
      <c r="E10" s="174">
        <v>13689</v>
      </c>
      <c r="F10" s="174">
        <v>19813</v>
      </c>
    </row>
    <row r="11" spans="1:8" ht="15" customHeight="1" x14ac:dyDescent="0.2">
      <c r="A11" s="57">
        <v>6</v>
      </c>
      <c r="B11" s="182" t="s">
        <v>242</v>
      </c>
      <c r="C11" s="174">
        <v>38</v>
      </c>
      <c r="D11" s="174">
        <v>43</v>
      </c>
      <c r="E11" s="174">
        <v>9</v>
      </c>
      <c r="F11" s="174">
        <v>14.8</v>
      </c>
    </row>
    <row r="12" spans="1:8" ht="15" customHeight="1" x14ac:dyDescent="0.2">
      <c r="A12" s="57">
        <v>7</v>
      </c>
      <c r="B12" s="58" t="s">
        <v>60</v>
      </c>
      <c r="C12" s="174">
        <v>4556</v>
      </c>
      <c r="D12" s="174">
        <v>6714</v>
      </c>
      <c r="E12" s="174">
        <v>2055</v>
      </c>
      <c r="F12" s="174">
        <v>5917</v>
      </c>
    </row>
    <row r="13" spans="1:8" ht="15" customHeight="1" x14ac:dyDescent="0.2">
      <c r="A13" s="57">
        <v>8</v>
      </c>
      <c r="B13" s="58" t="s">
        <v>61</v>
      </c>
      <c r="C13" s="174">
        <v>74917</v>
      </c>
      <c r="D13" s="174">
        <v>49801</v>
      </c>
      <c r="E13" s="174">
        <v>41058</v>
      </c>
      <c r="F13" s="174">
        <v>11694</v>
      </c>
      <c r="G13" s="5">
        <f>C13+D13</f>
        <v>124718</v>
      </c>
      <c r="H13" s="5">
        <f>D13+F13</f>
        <v>61495</v>
      </c>
    </row>
    <row r="14" spans="1:8" ht="15" customHeight="1" x14ac:dyDescent="0.2">
      <c r="A14" s="57">
        <v>9</v>
      </c>
      <c r="B14" s="58" t="s">
        <v>48</v>
      </c>
      <c r="C14" s="174">
        <v>1365</v>
      </c>
      <c r="D14" s="174">
        <v>3724.18</v>
      </c>
      <c r="E14" s="174">
        <v>882</v>
      </c>
      <c r="F14" s="174">
        <v>2607.87</v>
      </c>
    </row>
    <row r="15" spans="1:8" ht="15" customHeight="1" x14ac:dyDescent="0.2">
      <c r="A15" s="57">
        <v>10</v>
      </c>
      <c r="B15" s="58" t="s">
        <v>49</v>
      </c>
      <c r="C15" s="174">
        <v>2901</v>
      </c>
      <c r="D15" s="174">
        <v>2794</v>
      </c>
      <c r="E15" s="174">
        <v>1526</v>
      </c>
      <c r="F15" s="174">
        <v>1750</v>
      </c>
    </row>
    <row r="16" spans="1:8" ht="15" customHeight="1" x14ac:dyDescent="0.2">
      <c r="A16" s="57">
        <v>11</v>
      </c>
      <c r="B16" s="58" t="s">
        <v>81</v>
      </c>
      <c r="C16" s="174">
        <v>6462</v>
      </c>
      <c r="D16" s="174">
        <v>4376</v>
      </c>
      <c r="E16" s="174">
        <v>4075</v>
      </c>
      <c r="F16" s="174">
        <v>3001</v>
      </c>
    </row>
    <row r="17" spans="1:6" ht="15" customHeight="1" x14ac:dyDescent="0.2">
      <c r="A17" s="57">
        <v>12</v>
      </c>
      <c r="B17" s="58" t="s">
        <v>62</v>
      </c>
      <c r="C17" s="174">
        <v>875</v>
      </c>
      <c r="D17" s="174">
        <v>1114</v>
      </c>
      <c r="E17" s="174">
        <v>296</v>
      </c>
      <c r="F17" s="174">
        <v>441</v>
      </c>
    </row>
    <row r="18" spans="1:6" ht="15" customHeight="1" x14ac:dyDescent="0.2">
      <c r="A18" s="57">
        <v>13</v>
      </c>
      <c r="B18" s="58" t="s">
        <v>63</v>
      </c>
      <c r="C18" s="174">
        <v>1239</v>
      </c>
      <c r="D18" s="174">
        <v>1831</v>
      </c>
      <c r="E18" s="174">
        <v>863</v>
      </c>
      <c r="F18" s="174">
        <v>1089</v>
      </c>
    </row>
    <row r="19" spans="1:6" ht="15" customHeight="1" x14ac:dyDescent="0.2">
      <c r="A19" s="57">
        <v>14</v>
      </c>
      <c r="B19" s="91" t="s">
        <v>207</v>
      </c>
      <c r="C19" s="174">
        <v>2916</v>
      </c>
      <c r="D19" s="174">
        <v>6728</v>
      </c>
      <c r="E19" s="174">
        <v>1347</v>
      </c>
      <c r="F19" s="174">
        <v>2373</v>
      </c>
    </row>
    <row r="20" spans="1:6" ht="15" customHeight="1" x14ac:dyDescent="0.2">
      <c r="A20" s="57">
        <v>15</v>
      </c>
      <c r="B20" s="58" t="s">
        <v>208</v>
      </c>
      <c r="C20" s="174">
        <v>331</v>
      </c>
      <c r="D20" s="174">
        <v>435.6</v>
      </c>
      <c r="E20" s="174">
        <v>113</v>
      </c>
      <c r="F20" s="174">
        <v>135.63999999999999</v>
      </c>
    </row>
    <row r="21" spans="1:6" ht="15" customHeight="1" x14ac:dyDescent="0.2">
      <c r="A21" s="57">
        <v>16</v>
      </c>
      <c r="B21" s="58" t="s">
        <v>64</v>
      </c>
      <c r="C21" s="174">
        <v>19031</v>
      </c>
      <c r="D21" s="174">
        <v>20872</v>
      </c>
      <c r="E21" s="174">
        <v>8932</v>
      </c>
      <c r="F21" s="174">
        <v>9737</v>
      </c>
    </row>
    <row r="22" spans="1:6" ht="15" customHeight="1" x14ac:dyDescent="0.2">
      <c r="A22" s="57">
        <v>17</v>
      </c>
      <c r="B22" s="91" t="s">
        <v>69</v>
      </c>
      <c r="C22" s="174">
        <v>70</v>
      </c>
      <c r="D22" s="174">
        <v>197.5</v>
      </c>
      <c r="E22" s="174">
        <v>23</v>
      </c>
      <c r="F22" s="174">
        <v>56.7</v>
      </c>
    </row>
    <row r="23" spans="1:6" ht="15" customHeight="1" x14ac:dyDescent="0.2">
      <c r="A23" s="57">
        <v>18</v>
      </c>
      <c r="B23" s="58" t="s">
        <v>209</v>
      </c>
      <c r="C23" s="174">
        <v>0</v>
      </c>
      <c r="D23" s="174">
        <v>0</v>
      </c>
      <c r="E23" s="174">
        <v>0</v>
      </c>
      <c r="F23" s="174">
        <v>0</v>
      </c>
    </row>
    <row r="24" spans="1:6" ht="15" customHeight="1" x14ac:dyDescent="0.2">
      <c r="A24" s="57">
        <v>19</v>
      </c>
      <c r="B24" s="92" t="s">
        <v>210</v>
      </c>
      <c r="C24" s="174">
        <v>65</v>
      </c>
      <c r="D24" s="174">
        <v>206.62</v>
      </c>
      <c r="E24" s="174">
        <v>6</v>
      </c>
      <c r="F24" s="174">
        <v>145</v>
      </c>
    </row>
    <row r="25" spans="1:6" ht="15" customHeight="1" x14ac:dyDescent="0.2">
      <c r="A25" s="57">
        <v>20</v>
      </c>
      <c r="B25" s="58" t="s">
        <v>211</v>
      </c>
      <c r="C25" s="174">
        <v>23</v>
      </c>
      <c r="D25" s="174">
        <v>914</v>
      </c>
      <c r="E25" s="174">
        <v>18</v>
      </c>
      <c r="F25" s="174">
        <v>558</v>
      </c>
    </row>
    <row r="26" spans="1:6" ht="15" customHeight="1" x14ac:dyDescent="0.2">
      <c r="A26" s="57">
        <v>21</v>
      </c>
      <c r="B26" s="58" t="s">
        <v>212</v>
      </c>
      <c r="C26" s="174">
        <v>114</v>
      </c>
      <c r="D26" s="174">
        <v>4915</v>
      </c>
      <c r="E26" s="174">
        <v>115</v>
      </c>
      <c r="F26" s="174">
        <v>914</v>
      </c>
    </row>
    <row r="27" spans="1:6" ht="15" customHeight="1" x14ac:dyDescent="0.2">
      <c r="A27" s="57">
        <v>22</v>
      </c>
      <c r="B27" s="58" t="s">
        <v>70</v>
      </c>
      <c r="C27" s="174">
        <v>17299</v>
      </c>
      <c r="D27" s="174">
        <v>39604</v>
      </c>
      <c r="E27" s="174">
        <v>79256</v>
      </c>
      <c r="F27" s="174">
        <v>151453</v>
      </c>
    </row>
    <row r="28" spans="1:6" ht="15" customHeight="1" x14ac:dyDescent="0.2">
      <c r="A28" s="57">
        <v>23</v>
      </c>
      <c r="B28" s="58" t="s">
        <v>65</v>
      </c>
      <c r="C28" s="174">
        <v>1936</v>
      </c>
      <c r="D28" s="174">
        <v>2642</v>
      </c>
      <c r="E28" s="174">
        <v>1720</v>
      </c>
      <c r="F28" s="174">
        <v>1981</v>
      </c>
    </row>
    <row r="29" spans="1:6" ht="15" customHeight="1" x14ac:dyDescent="0.2">
      <c r="A29" s="57">
        <v>24</v>
      </c>
      <c r="B29" s="58" t="s">
        <v>213</v>
      </c>
      <c r="C29" s="174">
        <v>13720</v>
      </c>
      <c r="D29" s="174">
        <v>15222</v>
      </c>
      <c r="E29" s="174">
        <v>8820</v>
      </c>
      <c r="F29" s="174">
        <v>2220</v>
      </c>
    </row>
    <row r="30" spans="1:6" ht="15" customHeight="1" x14ac:dyDescent="0.2">
      <c r="A30" s="57">
        <v>25</v>
      </c>
      <c r="B30" s="58" t="s">
        <v>66</v>
      </c>
      <c r="C30" s="174">
        <v>21154</v>
      </c>
      <c r="D30" s="174">
        <v>25277</v>
      </c>
      <c r="E30" s="174">
        <v>12880</v>
      </c>
      <c r="F30" s="174">
        <v>13201</v>
      </c>
    </row>
    <row r="31" spans="1:6" ht="15" customHeight="1" x14ac:dyDescent="0.2">
      <c r="A31" s="57">
        <v>26</v>
      </c>
      <c r="B31" s="182" t="s">
        <v>67</v>
      </c>
      <c r="C31" s="174">
        <v>160</v>
      </c>
      <c r="D31" s="174">
        <v>1640</v>
      </c>
      <c r="E31" s="174">
        <v>70</v>
      </c>
      <c r="F31" s="174">
        <v>701</v>
      </c>
    </row>
    <row r="32" spans="1:6" ht="15" customHeight="1" x14ac:dyDescent="0.2">
      <c r="A32" s="57">
        <v>27</v>
      </c>
      <c r="B32" s="58" t="s">
        <v>50</v>
      </c>
      <c r="C32" s="174">
        <v>569</v>
      </c>
      <c r="D32" s="174">
        <v>918</v>
      </c>
      <c r="E32" s="174">
        <v>302</v>
      </c>
      <c r="F32" s="174">
        <v>630</v>
      </c>
    </row>
    <row r="33" spans="1:6" s="183" customFormat="1" ht="15" customHeight="1" x14ac:dyDescent="0.2">
      <c r="A33" s="57"/>
      <c r="B33" s="60" t="s">
        <v>294</v>
      </c>
      <c r="C33" s="176">
        <f>SUM(C6:C32)</f>
        <v>342616</v>
      </c>
      <c r="D33" s="176">
        <f t="shared" ref="D33:F33" si="0">SUM(D6:D32)</f>
        <v>636316.43999999994</v>
      </c>
      <c r="E33" s="176">
        <f t="shared" si="0"/>
        <v>350944</v>
      </c>
      <c r="F33" s="176">
        <f t="shared" si="0"/>
        <v>405219.74</v>
      </c>
    </row>
    <row r="34" spans="1:6" ht="15" customHeight="1" x14ac:dyDescent="0.2">
      <c r="A34" s="57">
        <v>28</v>
      </c>
      <c r="B34" s="58" t="s">
        <v>47</v>
      </c>
      <c r="C34" s="174">
        <v>5586</v>
      </c>
      <c r="D34" s="174">
        <v>2811.17</v>
      </c>
      <c r="E34" s="174">
        <v>3090</v>
      </c>
      <c r="F34" s="174">
        <v>2126.21</v>
      </c>
    </row>
    <row r="35" spans="1:6" ht="15" customHeight="1" x14ac:dyDescent="0.2">
      <c r="A35" s="57">
        <v>29</v>
      </c>
      <c r="B35" s="58" t="s">
        <v>215</v>
      </c>
      <c r="C35" s="174">
        <v>27189</v>
      </c>
      <c r="D35" s="174">
        <v>8358</v>
      </c>
      <c r="E35" s="174">
        <v>10894</v>
      </c>
      <c r="F35" s="174">
        <v>7602</v>
      </c>
    </row>
    <row r="36" spans="1:6" ht="15" customHeight="1" x14ac:dyDescent="0.2">
      <c r="A36" s="57">
        <v>30</v>
      </c>
      <c r="B36" s="58" t="s">
        <v>216</v>
      </c>
      <c r="C36" s="174">
        <v>0</v>
      </c>
      <c r="D36" s="174">
        <v>0</v>
      </c>
      <c r="E36" s="174">
        <v>0</v>
      </c>
      <c r="F36" s="174">
        <v>0</v>
      </c>
    </row>
    <row r="37" spans="1:6" ht="15" customHeight="1" x14ac:dyDescent="0.2">
      <c r="A37" s="57">
        <v>31</v>
      </c>
      <c r="B37" s="58" t="s">
        <v>78</v>
      </c>
      <c r="C37" s="174">
        <v>0</v>
      </c>
      <c r="D37" s="174">
        <v>0</v>
      </c>
      <c r="E37" s="174">
        <v>0</v>
      </c>
      <c r="F37" s="174">
        <v>0</v>
      </c>
    </row>
    <row r="38" spans="1:6" ht="15" customHeight="1" x14ac:dyDescent="0.2">
      <c r="A38" s="57">
        <v>32</v>
      </c>
      <c r="B38" s="58" t="s">
        <v>51</v>
      </c>
      <c r="C38" s="174">
        <v>0</v>
      </c>
      <c r="D38" s="174">
        <v>0</v>
      </c>
      <c r="E38" s="174">
        <v>0</v>
      </c>
      <c r="F38" s="174">
        <v>0</v>
      </c>
    </row>
    <row r="39" spans="1:6" ht="15" customHeight="1" x14ac:dyDescent="0.2">
      <c r="A39" s="57">
        <v>33</v>
      </c>
      <c r="B39" s="58" t="s">
        <v>217</v>
      </c>
      <c r="C39" s="174">
        <v>0</v>
      </c>
      <c r="D39" s="174">
        <v>0</v>
      </c>
      <c r="E39" s="174">
        <v>0</v>
      </c>
      <c r="F39" s="174">
        <v>0</v>
      </c>
    </row>
    <row r="40" spans="1:6" ht="15" customHeight="1" x14ac:dyDescent="0.2">
      <c r="A40" s="57">
        <v>34</v>
      </c>
      <c r="B40" s="58" t="s">
        <v>218</v>
      </c>
      <c r="C40" s="174">
        <v>0</v>
      </c>
      <c r="D40" s="174">
        <v>0</v>
      </c>
      <c r="E40" s="174">
        <v>0</v>
      </c>
      <c r="F40" s="174">
        <v>0</v>
      </c>
    </row>
    <row r="41" spans="1:6" ht="15" customHeight="1" x14ac:dyDescent="0.2">
      <c r="A41" s="57">
        <v>35</v>
      </c>
      <c r="B41" s="58" t="s">
        <v>219</v>
      </c>
      <c r="C41" s="174">
        <v>33</v>
      </c>
      <c r="D41" s="174">
        <v>24.03</v>
      </c>
      <c r="E41" s="174">
        <v>7</v>
      </c>
      <c r="F41" s="174">
        <v>4.4800000000000004</v>
      </c>
    </row>
    <row r="42" spans="1:6" ht="15" customHeight="1" x14ac:dyDescent="0.2">
      <c r="A42" s="57">
        <v>36</v>
      </c>
      <c r="B42" s="58" t="s">
        <v>71</v>
      </c>
      <c r="C42" s="174">
        <v>3361</v>
      </c>
      <c r="D42" s="174">
        <v>11485</v>
      </c>
      <c r="E42" s="174">
        <v>2176</v>
      </c>
      <c r="F42" s="174">
        <v>4090</v>
      </c>
    </row>
    <row r="43" spans="1:6" ht="15" customHeight="1" x14ac:dyDescent="0.2">
      <c r="A43" s="57">
        <v>37</v>
      </c>
      <c r="B43" s="58" t="s">
        <v>72</v>
      </c>
      <c r="C43" s="174">
        <v>17116</v>
      </c>
      <c r="D43" s="174">
        <v>18278</v>
      </c>
      <c r="E43" s="174">
        <v>6324</v>
      </c>
      <c r="F43" s="174">
        <v>9779</v>
      </c>
    </row>
    <row r="44" spans="1:6" ht="15" customHeight="1" x14ac:dyDescent="0.2">
      <c r="A44" s="57">
        <v>38</v>
      </c>
      <c r="B44" s="58" t="s">
        <v>220</v>
      </c>
      <c r="C44" s="174">
        <v>33523</v>
      </c>
      <c r="D44" s="174">
        <v>4227</v>
      </c>
      <c r="E44" s="174">
        <v>16033</v>
      </c>
      <c r="F44" s="174">
        <v>2715</v>
      </c>
    </row>
    <row r="45" spans="1:6" ht="15" customHeight="1" x14ac:dyDescent="0.2">
      <c r="A45" s="57">
        <v>39</v>
      </c>
      <c r="B45" s="58" t="s">
        <v>221</v>
      </c>
      <c r="C45" s="174">
        <v>1664</v>
      </c>
      <c r="D45" s="174">
        <v>1126</v>
      </c>
      <c r="E45" s="174">
        <v>1265</v>
      </c>
      <c r="F45" s="174">
        <v>1076</v>
      </c>
    </row>
    <row r="46" spans="1:6" ht="15" customHeight="1" x14ac:dyDescent="0.2">
      <c r="A46" s="57">
        <v>40</v>
      </c>
      <c r="B46" s="58" t="s">
        <v>222</v>
      </c>
      <c r="C46" s="174">
        <v>15</v>
      </c>
      <c r="D46" s="174">
        <v>8</v>
      </c>
      <c r="E46" s="174">
        <v>8</v>
      </c>
      <c r="F46" s="174">
        <v>2</v>
      </c>
    </row>
    <row r="47" spans="1:6" ht="15" customHeight="1" x14ac:dyDescent="0.2">
      <c r="A47" s="57">
        <v>41</v>
      </c>
      <c r="B47" s="58" t="s">
        <v>223</v>
      </c>
      <c r="C47" s="174">
        <v>9</v>
      </c>
      <c r="D47" s="174">
        <v>75.27</v>
      </c>
      <c r="E47" s="174">
        <v>3</v>
      </c>
      <c r="F47" s="174">
        <v>13.64</v>
      </c>
    </row>
    <row r="48" spans="1:6" ht="15" customHeight="1" x14ac:dyDescent="0.2">
      <c r="A48" s="57">
        <v>42</v>
      </c>
      <c r="B48" s="58" t="s">
        <v>224</v>
      </c>
      <c r="C48" s="174">
        <v>0</v>
      </c>
      <c r="D48" s="174">
        <v>0</v>
      </c>
      <c r="E48" s="174">
        <v>0</v>
      </c>
      <c r="F48" s="174">
        <v>0</v>
      </c>
    </row>
    <row r="49" spans="1:8" ht="15" customHeight="1" x14ac:dyDescent="0.2">
      <c r="A49" s="57">
        <v>43</v>
      </c>
      <c r="B49" s="58" t="s">
        <v>73</v>
      </c>
      <c r="C49" s="174">
        <v>3716</v>
      </c>
      <c r="D49" s="174">
        <v>7542</v>
      </c>
      <c r="E49" s="174">
        <v>1747</v>
      </c>
      <c r="F49" s="174">
        <v>4968</v>
      </c>
    </row>
    <row r="50" spans="1:8" ht="15" customHeight="1" x14ac:dyDescent="0.2">
      <c r="A50" s="57">
        <v>44</v>
      </c>
      <c r="B50" s="58" t="s">
        <v>225</v>
      </c>
      <c r="C50" s="174">
        <v>1</v>
      </c>
      <c r="D50" s="174">
        <v>1</v>
      </c>
      <c r="E50" s="174">
        <v>0</v>
      </c>
      <c r="F50" s="174">
        <v>0</v>
      </c>
    </row>
    <row r="51" spans="1:8" ht="15" customHeight="1" x14ac:dyDescent="0.2">
      <c r="A51" s="57">
        <v>45</v>
      </c>
      <c r="B51" s="58" t="s">
        <v>226</v>
      </c>
      <c r="C51" s="174">
        <v>8997</v>
      </c>
      <c r="D51" s="174">
        <v>1277</v>
      </c>
      <c r="E51" s="174">
        <v>3380</v>
      </c>
      <c r="F51" s="174">
        <v>573</v>
      </c>
    </row>
    <row r="52" spans="1:8" ht="15" customHeight="1" x14ac:dyDescent="0.2">
      <c r="A52" s="57">
        <v>46</v>
      </c>
      <c r="B52" s="58" t="s">
        <v>227</v>
      </c>
      <c r="C52" s="174">
        <v>5</v>
      </c>
      <c r="D52" s="174">
        <v>16</v>
      </c>
      <c r="E52" s="174">
        <v>2</v>
      </c>
      <c r="F52" s="174">
        <v>10</v>
      </c>
    </row>
    <row r="53" spans="1:8" ht="15" customHeight="1" x14ac:dyDescent="0.2">
      <c r="A53" s="57">
        <v>47</v>
      </c>
      <c r="B53" s="58" t="s">
        <v>77</v>
      </c>
      <c r="C53" s="174">
        <v>0</v>
      </c>
      <c r="D53" s="174">
        <v>0</v>
      </c>
      <c r="E53" s="174">
        <v>0</v>
      </c>
      <c r="F53" s="174">
        <v>0</v>
      </c>
    </row>
    <row r="54" spans="1:8" ht="15" customHeight="1" x14ac:dyDescent="0.2">
      <c r="A54" s="57">
        <v>48</v>
      </c>
      <c r="B54" s="58" t="s">
        <v>228</v>
      </c>
      <c r="C54" s="174">
        <v>0</v>
      </c>
      <c r="D54" s="174">
        <v>0</v>
      </c>
      <c r="E54" s="174">
        <v>0</v>
      </c>
      <c r="F54" s="174">
        <v>0</v>
      </c>
    </row>
    <row r="55" spans="1:8" ht="15" customHeight="1" x14ac:dyDescent="0.2">
      <c r="A55" s="57">
        <v>49</v>
      </c>
      <c r="B55" s="58" t="s">
        <v>76</v>
      </c>
      <c r="C55" s="174">
        <v>0</v>
      </c>
      <c r="D55" s="174">
        <v>0</v>
      </c>
      <c r="E55" s="174">
        <v>0</v>
      </c>
      <c r="F55" s="174">
        <v>0</v>
      </c>
    </row>
    <row r="56" spans="1:8" s="183" customFormat="1" ht="15" customHeight="1" x14ac:dyDescent="0.2">
      <c r="A56" s="283"/>
      <c r="B56" s="60" t="s">
        <v>289</v>
      </c>
      <c r="C56" s="176">
        <f>SUM(C34:C55)</f>
        <v>101215</v>
      </c>
      <c r="D56" s="176">
        <f t="shared" ref="D56:F56" si="1">SUM(D34:D55)</f>
        <v>55228.469999999994</v>
      </c>
      <c r="E56" s="176">
        <f t="shared" si="1"/>
        <v>44929</v>
      </c>
      <c r="F56" s="176">
        <f t="shared" si="1"/>
        <v>32959.33</v>
      </c>
    </row>
    <row r="57" spans="1:8" ht="15" customHeight="1" x14ac:dyDescent="0.2">
      <c r="A57" s="57">
        <v>50</v>
      </c>
      <c r="B57" s="58" t="s">
        <v>46</v>
      </c>
      <c r="C57" s="174">
        <v>24530</v>
      </c>
      <c r="D57" s="174">
        <v>21851</v>
      </c>
      <c r="E57" s="174">
        <v>36832</v>
      </c>
      <c r="F57" s="174">
        <v>32776</v>
      </c>
    </row>
    <row r="58" spans="1:8" ht="15" customHeight="1" x14ac:dyDescent="0.2">
      <c r="A58" s="57">
        <v>51</v>
      </c>
      <c r="B58" s="58" t="s">
        <v>229</v>
      </c>
      <c r="C58" s="174">
        <v>59599</v>
      </c>
      <c r="D58" s="174">
        <v>20706</v>
      </c>
      <c r="E58" s="174">
        <v>20759</v>
      </c>
      <c r="F58" s="174">
        <v>7841</v>
      </c>
    </row>
    <row r="59" spans="1:8" ht="15" customHeight="1" x14ac:dyDescent="0.2">
      <c r="A59" s="57">
        <v>52</v>
      </c>
      <c r="B59" s="58" t="s">
        <v>52</v>
      </c>
      <c r="C59" s="174">
        <v>29104</v>
      </c>
      <c r="D59" s="174">
        <v>2306.3000000000002</v>
      </c>
      <c r="E59" s="174">
        <v>30506</v>
      </c>
      <c r="F59" s="174">
        <v>28846.91</v>
      </c>
    </row>
    <row r="60" spans="1:8" s="183" customFormat="1" ht="15" customHeight="1" x14ac:dyDescent="0.2">
      <c r="A60" s="283"/>
      <c r="B60" s="282" t="s">
        <v>295</v>
      </c>
      <c r="C60" s="176">
        <f>SUM(C57:C59)</f>
        <v>113233</v>
      </c>
      <c r="D60" s="176">
        <f t="shared" ref="D60:F60" si="2">SUM(D57:D59)</f>
        <v>44863.3</v>
      </c>
      <c r="E60" s="176">
        <f t="shared" si="2"/>
        <v>88097</v>
      </c>
      <c r="F60" s="176">
        <f t="shared" si="2"/>
        <v>69463.91</v>
      </c>
    </row>
    <row r="61" spans="1:8" ht="15" customHeight="1" x14ac:dyDescent="0.2">
      <c r="A61" s="57">
        <v>53</v>
      </c>
      <c r="B61" s="279" t="s">
        <v>290</v>
      </c>
      <c r="C61" s="279">
        <v>233454</v>
      </c>
      <c r="D61" s="279">
        <v>84043</v>
      </c>
      <c r="E61" s="279">
        <v>92100</v>
      </c>
      <c r="F61" s="174">
        <v>111087</v>
      </c>
    </row>
    <row r="62" spans="1:8" s="183" customFormat="1" ht="15" customHeight="1" x14ac:dyDescent="0.2">
      <c r="A62" s="283"/>
      <c r="B62" s="282" t="s">
        <v>291</v>
      </c>
      <c r="C62" s="282">
        <f>C61</f>
        <v>233454</v>
      </c>
      <c r="D62" s="282">
        <f t="shared" ref="D62:F62" si="3">D61</f>
        <v>84043</v>
      </c>
      <c r="E62" s="282">
        <f t="shared" si="3"/>
        <v>92100</v>
      </c>
      <c r="F62" s="282">
        <f t="shared" si="3"/>
        <v>111087</v>
      </c>
    </row>
    <row r="63" spans="1:8" s="183" customFormat="1" ht="15" customHeight="1" x14ac:dyDescent="0.2">
      <c r="A63" s="283"/>
      <c r="B63" s="282" t="s">
        <v>292</v>
      </c>
      <c r="C63" s="176">
        <f>C62+C60+C56+C33</f>
        <v>790518</v>
      </c>
      <c r="D63" s="176">
        <f t="shared" ref="D63:F63" si="4">D62+D60+D56+D33</f>
        <v>820451.21</v>
      </c>
      <c r="E63" s="176">
        <f t="shared" si="4"/>
        <v>576070</v>
      </c>
      <c r="F63" s="176">
        <f t="shared" si="4"/>
        <v>618729.98</v>
      </c>
      <c r="H63" s="265"/>
    </row>
    <row r="64" spans="1:8" x14ac:dyDescent="0.2">
      <c r="B64" s="420" t="s">
        <v>1234</v>
      </c>
    </row>
    <row r="66" spans="3:8" x14ac:dyDescent="0.2">
      <c r="C66" s="183"/>
      <c r="D66" s="265"/>
      <c r="E66" s="183"/>
      <c r="F66" s="265"/>
    </row>
    <row r="67" spans="3:8" x14ac:dyDescent="0.2">
      <c r="H67" s="5"/>
    </row>
    <row r="68" spans="3:8" x14ac:dyDescent="0.2">
      <c r="C68" s="5"/>
      <c r="D68" s="5"/>
      <c r="E68" s="5"/>
    </row>
  </sheetData>
  <mergeCells count="6">
    <mergeCell ref="A1:F1"/>
    <mergeCell ref="B3:D3"/>
    <mergeCell ref="A4:A5"/>
    <mergeCell ref="B4:B5"/>
    <mergeCell ref="C4:D4"/>
    <mergeCell ref="E4:F4"/>
  </mergeCells>
  <conditionalFormatting sqref="B6">
    <cfRule type="duplicateValues" dxfId="21" priority="1"/>
  </conditionalFormatting>
  <conditionalFormatting sqref="B22">
    <cfRule type="duplicateValues" dxfId="20" priority="2"/>
  </conditionalFormatting>
  <conditionalFormatting sqref="B33:B34 B26:B30">
    <cfRule type="duplicateValues" dxfId="19" priority="3"/>
  </conditionalFormatting>
  <conditionalFormatting sqref="B52">
    <cfRule type="duplicateValues" dxfId="18" priority="4"/>
  </conditionalFormatting>
  <conditionalFormatting sqref="B56">
    <cfRule type="duplicateValues" dxfId="17" priority="5"/>
  </conditionalFormatting>
  <conditionalFormatting sqref="B58">
    <cfRule type="duplicateValues" dxfId="16" priority="6"/>
  </conditionalFormatting>
  <pageMargins left="0.7" right="0.7" top="0.25" bottom="0.25" header="0.3" footer="0.3"/>
  <pageSetup paperSize="9" scale="8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5"/>
  <sheetViews>
    <sheetView view="pageBreakPreview" zoomScale="60" zoomScaleNormal="100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M58" sqref="M58"/>
    </sheetView>
  </sheetViews>
  <sheetFormatPr defaultRowHeight="12.75" x14ac:dyDescent="0.2"/>
  <cols>
    <col min="1" max="1" width="5" style="205" customWidth="1"/>
    <col min="2" max="2" width="24.42578125" style="205" bestFit="1" customWidth="1"/>
    <col min="3" max="3" width="15" style="207" customWidth="1"/>
    <col min="4" max="4" width="12.42578125" style="207" customWidth="1"/>
    <col min="5" max="5" width="15.85546875" style="207" customWidth="1"/>
    <col min="6" max="6" width="14" style="207" customWidth="1"/>
    <col min="7" max="16384" width="9.140625" style="205"/>
  </cols>
  <sheetData>
    <row r="1" spans="1:8" ht="18.75" x14ac:dyDescent="0.2">
      <c r="A1" s="536" t="s">
        <v>372</v>
      </c>
      <c r="B1" s="536"/>
      <c r="C1" s="536"/>
      <c r="D1" s="536"/>
      <c r="E1" s="536"/>
      <c r="F1" s="536"/>
    </row>
    <row r="2" spans="1:8" ht="14.25" x14ac:dyDescent="0.2">
      <c r="A2" s="48"/>
      <c r="B2" s="48"/>
      <c r="C2" s="195"/>
      <c r="D2" s="195"/>
      <c r="E2" s="195"/>
      <c r="F2" s="195"/>
    </row>
    <row r="3" spans="1:8" ht="15.75" x14ac:dyDescent="0.2">
      <c r="A3" s="33"/>
      <c r="B3" s="567" t="s">
        <v>12</v>
      </c>
      <c r="C3" s="567"/>
      <c r="D3" s="567"/>
      <c r="F3" s="206" t="s">
        <v>187</v>
      </c>
    </row>
    <row r="4" spans="1:8" ht="15" customHeight="1" x14ac:dyDescent="0.2">
      <c r="A4" s="546" t="s">
        <v>231</v>
      </c>
      <c r="B4" s="546" t="s">
        <v>3</v>
      </c>
      <c r="C4" s="532" t="s">
        <v>184</v>
      </c>
      <c r="D4" s="532"/>
      <c r="E4" s="532" t="s">
        <v>185</v>
      </c>
      <c r="F4" s="532"/>
    </row>
    <row r="5" spans="1:8" ht="15" customHeight="1" x14ac:dyDescent="0.2">
      <c r="A5" s="546"/>
      <c r="B5" s="546"/>
      <c r="C5" s="284" t="s">
        <v>30</v>
      </c>
      <c r="D5" s="284" t="s">
        <v>17</v>
      </c>
      <c r="E5" s="284" t="s">
        <v>30</v>
      </c>
      <c r="F5" s="284" t="s">
        <v>17</v>
      </c>
    </row>
    <row r="6" spans="1:8" ht="15" customHeight="1" x14ac:dyDescent="0.2">
      <c r="A6" s="57">
        <v>1</v>
      </c>
      <c r="B6" s="58" t="s">
        <v>55</v>
      </c>
      <c r="C6" s="174">
        <v>658</v>
      </c>
      <c r="D6" s="174">
        <v>1125</v>
      </c>
      <c r="E6" s="174">
        <v>412</v>
      </c>
      <c r="F6" s="174">
        <v>458</v>
      </c>
      <c r="G6" s="207"/>
      <c r="H6" s="207"/>
    </row>
    <row r="7" spans="1:8" ht="15" customHeight="1" x14ac:dyDescent="0.2">
      <c r="A7" s="57">
        <v>2</v>
      </c>
      <c r="B7" s="58" t="s">
        <v>56</v>
      </c>
      <c r="C7" s="174">
        <v>52</v>
      </c>
      <c r="D7" s="174">
        <v>116.21</v>
      </c>
      <c r="E7" s="174">
        <v>28</v>
      </c>
      <c r="F7" s="174">
        <v>75.13</v>
      </c>
      <c r="G7" s="207"/>
      <c r="H7" s="207"/>
    </row>
    <row r="8" spans="1:8" ht="15" customHeight="1" x14ac:dyDescent="0.2">
      <c r="A8" s="57">
        <v>3</v>
      </c>
      <c r="B8" s="58" t="s">
        <v>57</v>
      </c>
      <c r="C8" s="174">
        <v>1785</v>
      </c>
      <c r="D8" s="174">
        <v>2135</v>
      </c>
      <c r="E8" s="174">
        <v>723</v>
      </c>
      <c r="F8" s="174">
        <v>983</v>
      </c>
      <c r="G8" s="207"/>
      <c r="H8" s="207"/>
    </row>
    <row r="9" spans="1:8" ht="15" customHeight="1" x14ac:dyDescent="0.2">
      <c r="A9" s="57">
        <v>4</v>
      </c>
      <c r="B9" s="58" t="s">
        <v>58</v>
      </c>
      <c r="C9" s="174">
        <v>415</v>
      </c>
      <c r="D9" s="174">
        <v>246</v>
      </c>
      <c r="E9" s="174">
        <v>296</v>
      </c>
      <c r="F9" s="174">
        <v>343</v>
      </c>
      <c r="G9" s="207"/>
      <c r="H9" s="207"/>
    </row>
    <row r="10" spans="1:8" ht="15" customHeight="1" x14ac:dyDescent="0.2">
      <c r="A10" s="57">
        <v>5</v>
      </c>
      <c r="B10" s="58" t="s">
        <v>59</v>
      </c>
      <c r="C10" s="174">
        <v>389</v>
      </c>
      <c r="D10" s="174">
        <v>589</v>
      </c>
      <c r="E10" s="174">
        <v>323</v>
      </c>
      <c r="F10" s="174">
        <v>475</v>
      </c>
      <c r="G10" s="207"/>
      <c r="H10" s="207"/>
    </row>
    <row r="11" spans="1:8" ht="15" customHeight="1" x14ac:dyDescent="0.2">
      <c r="A11" s="57">
        <v>6</v>
      </c>
      <c r="B11" s="182" t="s">
        <v>242</v>
      </c>
      <c r="C11" s="174">
        <v>0</v>
      </c>
      <c r="D11" s="174">
        <v>0</v>
      </c>
      <c r="E11" s="174">
        <v>0</v>
      </c>
      <c r="F11" s="174">
        <v>0</v>
      </c>
      <c r="G11" s="207"/>
      <c r="H11" s="207"/>
    </row>
    <row r="12" spans="1:8" ht="15" customHeight="1" x14ac:dyDescent="0.2">
      <c r="A12" s="57">
        <v>7</v>
      </c>
      <c r="B12" s="58" t="s">
        <v>60</v>
      </c>
      <c r="C12" s="174">
        <v>324</v>
      </c>
      <c r="D12" s="174">
        <v>763</v>
      </c>
      <c r="E12" s="174">
        <v>255</v>
      </c>
      <c r="F12" s="174">
        <v>618</v>
      </c>
      <c r="G12" s="207"/>
      <c r="H12" s="207"/>
    </row>
    <row r="13" spans="1:8" ht="15" customHeight="1" x14ac:dyDescent="0.2">
      <c r="A13" s="57">
        <v>8</v>
      </c>
      <c r="B13" s="58" t="s">
        <v>61</v>
      </c>
      <c r="C13" s="174">
        <v>503</v>
      </c>
      <c r="D13" s="174">
        <v>954</v>
      </c>
      <c r="E13" s="174">
        <v>214</v>
      </c>
      <c r="F13" s="174">
        <v>1135</v>
      </c>
      <c r="G13" s="207"/>
      <c r="H13" s="207"/>
    </row>
    <row r="14" spans="1:8" ht="15" customHeight="1" x14ac:dyDescent="0.2">
      <c r="A14" s="57">
        <v>9</v>
      </c>
      <c r="B14" s="58" t="s">
        <v>48</v>
      </c>
      <c r="C14" s="174">
        <v>1365</v>
      </c>
      <c r="D14" s="174">
        <v>3724.18</v>
      </c>
      <c r="E14" s="174">
        <v>882</v>
      </c>
      <c r="F14" s="174">
        <v>2607.87</v>
      </c>
      <c r="G14" s="207"/>
      <c r="H14" s="207"/>
    </row>
    <row r="15" spans="1:8" ht="15" customHeight="1" x14ac:dyDescent="0.2">
      <c r="A15" s="57">
        <v>10</v>
      </c>
      <c r="B15" s="58" t="s">
        <v>49</v>
      </c>
      <c r="C15" s="174">
        <v>281</v>
      </c>
      <c r="D15" s="174">
        <v>479</v>
      </c>
      <c r="E15" s="174">
        <v>131</v>
      </c>
      <c r="F15" s="174">
        <v>268</v>
      </c>
      <c r="G15" s="207"/>
      <c r="H15" s="207"/>
    </row>
    <row r="16" spans="1:8" ht="15" customHeight="1" x14ac:dyDescent="0.2">
      <c r="A16" s="57">
        <v>11</v>
      </c>
      <c r="B16" s="58" t="s">
        <v>81</v>
      </c>
      <c r="C16" s="174">
        <v>3332</v>
      </c>
      <c r="D16" s="174">
        <v>1406</v>
      </c>
      <c r="E16" s="174">
        <v>1948</v>
      </c>
      <c r="F16" s="174">
        <v>956</v>
      </c>
      <c r="G16" s="207"/>
      <c r="H16" s="207"/>
    </row>
    <row r="17" spans="1:8" ht="15" customHeight="1" x14ac:dyDescent="0.2">
      <c r="A17" s="57">
        <v>12</v>
      </c>
      <c r="B17" s="58" t="s">
        <v>62</v>
      </c>
      <c r="C17" s="174">
        <v>1</v>
      </c>
      <c r="D17" s="174">
        <v>0.25</v>
      </c>
      <c r="E17" s="174">
        <v>1</v>
      </c>
      <c r="F17" s="174">
        <v>0.15</v>
      </c>
      <c r="G17" s="207"/>
      <c r="H17" s="207"/>
    </row>
    <row r="18" spans="1:8" ht="15" customHeight="1" x14ac:dyDescent="0.2">
      <c r="A18" s="57">
        <v>13</v>
      </c>
      <c r="B18" s="58" t="s">
        <v>63</v>
      </c>
      <c r="C18" s="174">
        <v>27</v>
      </c>
      <c r="D18" s="174">
        <v>47</v>
      </c>
      <c r="E18" s="174">
        <v>3</v>
      </c>
      <c r="F18" s="174">
        <v>7</v>
      </c>
      <c r="G18" s="207"/>
      <c r="H18" s="207"/>
    </row>
    <row r="19" spans="1:8" ht="15" customHeight="1" x14ac:dyDescent="0.2">
      <c r="A19" s="57">
        <v>14</v>
      </c>
      <c r="B19" s="91" t="s">
        <v>207</v>
      </c>
      <c r="C19" s="174">
        <v>356</v>
      </c>
      <c r="D19" s="174">
        <v>765.68</v>
      </c>
      <c r="E19" s="174">
        <v>169</v>
      </c>
      <c r="F19" s="174">
        <v>359.18</v>
      </c>
      <c r="G19" s="207"/>
      <c r="H19" s="207"/>
    </row>
    <row r="20" spans="1:8" ht="15" customHeight="1" x14ac:dyDescent="0.2">
      <c r="A20" s="57">
        <v>15</v>
      </c>
      <c r="B20" s="58" t="s">
        <v>208</v>
      </c>
      <c r="C20" s="174">
        <v>21</v>
      </c>
      <c r="D20" s="174">
        <v>43.81</v>
      </c>
      <c r="E20" s="174">
        <v>6</v>
      </c>
      <c r="F20" s="174">
        <v>8.23</v>
      </c>
      <c r="G20" s="207"/>
      <c r="H20" s="207"/>
    </row>
    <row r="21" spans="1:8" ht="15" customHeight="1" x14ac:dyDescent="0.2">
      <c r="A21" s="57">
        <v>16</v>
      </c>
      <c r="B21" s="58" t="s">
        <v>64</v>
      </c>
      <c r="C21" s="174">
        <v>5532</v>
      </c>
      <c r="D21" s="174">
        <v>8732</v>
      </c>
      <c r="E21" s="174">
        <v>2680</v>
      </c>
      <c r="F21" s="174">
        <v>4307</v>
      </c>
      <c r="G21" s="207"/>
      <c r="H21" s="207"/>
    </row>
    <row r="22" spans="1:8" ht="15" customHeight="1" x14ac:dyDescent="0.2">
      <c r="A22" s="57">
        <v>17</v>
      </c>
      <c r="B22" s="91" t="s">
        <v>69</v>
      </c>
      <c r="C22" s="174">
        <v>10</v>
      </c>
      <c r="D22" s="174">
        <v>7.08</v>
      </c>
      <c r="E22" s="174">
        <v>5</v>
      </c>
      <c r="F22" s="174">
        <v>2.5</v>
      </c>
      <c r="G22" s="207"/>
      <c r="H22" s="207"/>
    </row>
    <row r="23" spans="1:8" ht="15" customHeight="1" x14ac:dyDescent="0.2">
      <c r="A23" s="57">
        <v>18</v>
      </c>
      <c r="B23" s="58" t="s">
        <v>209</v>
      </c>
      <c r="C23" s="174">
        <v>0</v>
      </c>
      <c r="D23" s="174">
        <v>0</v>
      </c>
      <c r="E23" s="174">
        <v>0</v>
      </c>
      <c r="F23" s="174">
        <v>0</v>
      </c>
      <c r="G23" s="207"/>
      <c r="H23" s="207"/>
    </row>
    <row r="24" spans="1:8" ht="15" customHeight="1" x14ac:dyDescent="0.2">
      <c r="A24" s="57">
        <v>19</v>
      </c>
      <c r="B24" s="92" t="s">
        <v>210</v>
      </c>
      <c r="C24" s="174">
        <v>23</v>
      </c>
      <c r="D24" s="174">
        <v>123.48</v>
      </c>
      <c r="E24" s="174">
        <v>3</v>
      </c>
      <c r="F24" s="174">
        <v>10.55</v>
      </c>
      <c r="G24" s="207"/>
      <c r="H24" s="207"/>
    </row>
    <row r="25" spans="1:8" ht="15" customHeight="1" x14ac:dyDescent="0.2">
      <c r="A25" s="57">
        <v>20</v>
      </c>
      <c r="B25" s="58" t="s">
        <v>211</v>
      </c>
      <c r="C25" s="174">
        <v>23</v>
      </c>
      <c r="D25" s="174">
        <v>914</v>
      </c>
      <c r="E25" s="174">
        <v>18</v>
      </c>
      <c r="F25" s="174">
        <v>558</v>
      </c>
      <c r="G25" s="207"/>
      <c r="H25" s="207"/>
    </row>
    <row r="26" spans="1:8" ht="15" customHeight="1" x14ac:dyDescent="0.2">
      <c r="A26" s="57">
        <v>21</v>
      </c>
      <c r="B26" s="58" t="s">
        <v>212</v>
      </c>
      <c r="C26" s="174">
        <v>114</v>
      </c>
      <c r="D26" s="174">
        <v>4915</v>
      </c>
      <c r="E26" s="174">
        <v>115</v>
      </c>
      <c r="F26" s="174">
        <v>914</v>
      </c>
      <c r="G26" s="207"/>
      <c r="H26" s="207"/>
    </row>
    <row r="27" spans="1:8" ht="15" customHeight="1" x14ac:dyDescent="0.2">
      <c r="A27" s="57">
        <v>22</v>
      </c>
      <c r="B27" s="58" t="s">
        <v>70</v>
      </c>
      <c r="C27" s="174">
        <v>1274</v>
      </c>
      <c r="D27" s="174">
        <v>1053</v>
      </c>
      <c r="E27" s="174">
        <v>1561</v>
      </c>
      <c r="F27" s="174">
        <v>1146</v>
      </c>
      <c r="G27" s="207"/>
      <c r="H27" s="207"/>
    </row>
    <row r="28" spans="1:8" ht="15" customHeight="1" x14ac:dyDescent="0.2">
      <c r="A28" s="57">
        <v>23</v>
      </c>
      <c r="B28" s="58" t="s">
        <v>65</v>
      </c>
      <c r="C28" s="174">
        <v>56</v>
      </c>
      <c r="D28" s="174">
        <v>149</v>
      </c>
      <c r="E28" s="174">
        <v>145</v>
      </c>
      <c r="F28" s="174">
        <v>271</v>
      </c>
      <c r="G28" s="207"/>
      <c r="H28" s="207"/>
    </row>
    <row r="29" spans="1:8" ht="15" customHeight="1" x14ac:dyDescent="0.2">
      <c r="A29" s="57">
        <v>24</v>
      </c>
      <c r="B29" s="58" t="s">
        <v>213</v>
      </c>
      <c r="C29" s="174">
        <v>141</v>
      </c>
      <c r="D29" s="174">
        <v>612</v>
      </c>
      <c r="E29" s="174">
        <v>40</v>
      </c>
      <c r="F29" s="174">
        <v>42</v>
      </c>
      <c r="G29" s="207"/>
      <c r="H29" s="207"/>
    </row>
    <row r="30" spans="1:8" ht="15" customHeight="1" x14ac:dyDescent="0.2">
      <c r="A30" s="57">
        <v>25</v>
      </c>
      <c r="B30" s="58" t="s">
        <v>66</v>
      </c>
      <c r="C30" s="174">
        <v>452</v>
      </c>
      <c r="D30" s="174">
        <v>272</v>
      </c>
      <c r="E30" s="174">
        <v>167</v>
      </c>
      <c r="F30" s="174">
        <v>93</v>
      </c>
      <c r="G30" s="207"/>
      <c r="H30" s="207"/>
    </row>
    <row r="31" spans="1:8" ht="15" customHeight="1" x14ac:dyDescent="0.2">
      <c r="A31" s="57">
        <v>26</v>
      </c>
      <c r="B31" s="182" t="s">
        <v>67</v>
      </c>
      <c r="C31" s="174">
        <v>3</v>
      </c>
      <c r="D31" s="174">
        <v>3.61</v>
      </c>
      <c r="E31" s="174">
        <v>1</v>
      </c>
      <c r="F31" s="174">
        <v>1.01</v>
      </c>
      <c r="G31" s="207"/>
      <c r="H31" s="207"/>
    </row>
    <row r="32" spans="1:8" ht="15" customHeight="1" x14ac:dyDescent="0.2">
      <c r="A32" s="57">
        <v>27</v>
      </c>
      <c r="B32" s="58" t="s">
        <v>50</v>
      </c>
      <c r="C32" s="174">
        <v>101</v>
      </c>
      <c r="D32" s="174">
        <v>278.39999999999998</v>
      </c>
      <c r="E32" s="174">
        <v>63</v>
      </c>
      <c r="F32" s="174">
        <v>115.71</v>
      </c>
      <c r="G32" s="207"/>
      <c r="H32" s="207"/>
    </row>
    <row r="33" spans="1:10" s="286" customFormat="1" ht="15" customHeight="1" x14ac:dyDescent="0.2">
      <c r="A33" s="283" t="s">
        <v>348</v>
      </c>
      <c r="B33" s="60" t="s">
        <v>288</v>
      </c>
      <c r="C33" s="176">
        <f>SUM(C6:C32)</f>
        <v>17238</v>
      </c>
      <c r="D33" s="176">
        <f t="shared" ref="D33:F33" si="0">SUM(D6:D32)</f>
        <v>29453.7</v>
      </c>
      <c r="E33" s="176">
        <f t="shared" si="0"/>
        <v>10189</v>
      </c>
      <c r="F33" s="176">
        <f t="shared" si="0"/>
        <v>15754.329999999998</v>
      </c>
      <c r="G33" s="207"/>
      <c r="H33" s="207"/>
    </row>
    <row r="34" spans="1:10" ht="15" customHeight="1" x14ac:dyDescent="0.2">
      <c r="A34" s="57">
        <v>28</v>
      </c>
      <c r="B34" s="58" t="s">
        <v>47</v>
      </c>
      <c r="C34" s="174">
        <v>3537</v>
      </c>
      <c r="D34" s="174">
        <v>959.11</v>
      </c>
      <c r="E34" s="174">
        <v>1898</v>
      </c>
      <c r="F34" s="174">
        <v>725.41</v>
      </c>
      <c r="G34" s="207"/>
      <c r="H34" s="207"/>
    </row>
    <row r="35" spans="1:10" ht="15" customHeight="1" x14ac:dyDescent="0.2">
      <c r="A35" s="57">
        <v>29</v>
      </c>
      <c r="B35" s="58" t="s">
        <v>215</v>
      </c>
      <c r="C35" s="174">
        <v>19315</v>
      </c>
      <c r="D35" s="174">
        <v>6168</v>
      </c>
      <c r="E35" s="174">
        <v>2285</v>
      </c>
      <c r="F35" s="174">
        <v>3060</v>
      </c>
      <c r="G35" s="207"/>
      <c r="H35" s="207"/>
    </row>
    <row r="36" spans="1:10" ht="15" customHeight="1" x14ac:dyDescent="0.2">
      <c r="A36" s="57">
        <v>30</v>
      </c>
      <c r="B36" s="58" t="s">
        <v>216</v>
      </c>
      <c r="C36" s="174">
        <v>0</v>
      </c>
      <c r="D36" s="174">
        <v>0</v>
      </c>
      <c r="E36" s="174">
        <v>0</v>
      </c>
      <c r="F36" s="174">
        <v>0</v>
      </c>
      <c r="G36" s="207"/>
      <c r="H36" s="207"/>
    </row>
    <row r="37" spans="1:10" ht="15" customHeight="1" x14ac:dyDescent="0.2">
      <c r="A37" s="57">
        <v>31</v>
      </c>
      <c r="B37" s="58" t="s">
        <v>78</v>
      </c>
      <c r="C37" s="174">
        <v>0</v>
      </c>
      <c r="D37" s="174">
        <v>0</v>
      </c>
      <c r="E37" s="174">
        <v>0</v>
      </c>
      <c r="F37" s="174">
        <v>0</v>
      </c>
      <c r="G37" s="207"/>
      <c r="H37" s="207"/>
    </row>
    <row r="38" spans="1:10" ht="15" customHeight="1" x14ac:dyDescent="0.2">
      <c r="A38" s="57">
        <v>32</v>
      </c>
      <c r="B38" s="58" t="s">
        <v>51</v>
      </c>
      <c r="C38" s="174">
        <v>0</v>
      </c>
      <c r="D38" s="174">
        <v>0</v>
      </c>
      <c r="E38" s="174">
        <v>0</v>
      </c>
      <c r="F38" s="174">
        <v>0</v>
      </c>
      <c r="G38" s="207"/>
      <c r="H38" s="207"/>
    </row>
    <row r="39" spans="1:10" ht="15" customHeight="1" x14ac:dyDescent="0.2">
      <c r="A39" s="57">
        <v>33</v>
      </c>
      <c r="B39" s="58" t="s">
        <v>217</v>
      </c>
      <c r="C39" s="174">
        <v>0</v>
      </c>
      <c r="D39" s="174">
        <v>0</v>
      </c>
      <c r="E39" s="174">
        <v>0</v>
      </c>
      <c r="F39" s="174">
        <v>0</v>
      </c>
      <c r="G39" s="207"/>
      <c r="H39" s="207"/>
    </row>
    <row r="40" spans="1:10" ht="15" customHeight="1" x14ac:dyDescent="0.2">
      <c r="A40" s="57">
        <v>34</v>
      </c>
      <c r="B40" s="58" t="s">
        <v>218</v>
      </c>
      <c r="C40" s="174">
        <v>0</v>
      </c>
      <c r="D40" s="174">
        <v>0</v>
      </c>
      <c r="E40" s="174">
        <v>0</v>
      </c>
      <c r="F40" s="174">
        <v>0</v>
      </c>
      <c r="G40" s="207"/>
      <c r="H40" s="207"/>
    </row>
    <row r="41" spans="1:10" ht="15" customHeight="1" x14ac:dyDescent="0.2">
      <c r="A41" s="57">
        <v>35</v>
      </c>
      <c r="B41" s="58" t="s">
        <v>219</v>
      </c>
      <c r="C41" s="174">
        <v>33</v>
      </c>
      <c r="D41" s="174">
        <v>24.03</v>
      </c>
      <c r="E41" s="174">
        <v>7</v>
      </c>
      <c r="F41" s="174">
        <v>4.4800000000000004</v>
      </c>
      <c r="G41" s="207"/>
      <c r="H41" s="207"/>
    </row>
    <row r="42" spans="1:10" ht="15" customHeight="1" x14ac:dyDescent="0.2">
      <c r="A42" s="57">
        <v>36</v>
      </c>
      <c r="B42" s="58" t="s">
        <v>71</v>
      </c>
      <c r="C42" s="174">
        <v>470</v>
      </c>
      <c r="D42" s="174">
        <v>1317</v>
      </c>
      <c r="E42" s="174">
        <v>355</v>
      </c>
      <c r="F42" s="174">
        <v>855</v>
      </c>
      <c r="G42" s="207"/>
      <c r="H42" s="207"/>
    </row>
    <row r="43" spans="1:10" ht="15" customHeight="1" x14ac:dyDescent="0.2">
      <c r="A43" s="57">
        <v>37</v>
      </c>
      <c r="B43" s="58" t="s">
        <v>72</v>
      </c>
      <c r="C43" s="174">
        <v>10111</v>
      </c>
      <c r="D43" s="174">
        <v>9644</v>
      </c>
      <c r="E43" s="174">
        <v>3897</v>
      </c>
      <c r="F43" s="174">
        <v>5336</v>
      </c>
      <c r="G43" s="207"/>
      <c r="H43" s="207"/>
      <c r="J43" s="205">
        <v>2396</v>
      </c>
    </row>
    <row r="44" spans="1:10" ht="15" customHeight="1" x14ac:dyDescent="0.2">
      <c r="A44" s="57">
        <v>38</v>
      </c>
      <c r="B44" s="58" t="s">
        <v>220</v>
      </c>
      <c r="C44" s="174">
        <v>30637</v>
      </c>
      <c r="D44" s="174">
        <v>3167</v>
      </c>
      <c r="E44" s="174">
        <v>13956</v>
      </c>
      <c r="F44" s="174">
        <v>2396</v>
      </c>
      <c r="G44" s="207"/>
      <c r="H44" s="207"/>
      <c r="J44" s="205">
        <v>1017</v>
      </c>
    </row>
    <row r="45" spans="1:10" ht="15" customHeight="1" x14ac:dyDescent="0.2">
      <c r="A45" s="57">
        <v>39</v>
      </c>
      <c r="B45" s="58" t="s">
        <v>221</v>
      </c>
      <c r="C45" s="174">
        <v>1171</v>
      </c>
      <c r="D45" s="174">
        <v>881</v>
      </c>
      <c r="E45" s="174">
        <v>844</v>
      </c>
      <c r="F45" s="174">
        <v>1017</v>
      </c>
      <c r="G45" s="207"/>
      <c r="H45" s="207"/>
    </row>
    <row r="46" spans="1:10" ht="15" customHeight="1" x14ac:dyDescent="0.2">
      <c r="A46" s="57">
        <v>40</v>
      </c>
      <c r="B46" s="58" t="s">
        <v>222</v>
      </c>
      <c r="C46" s="174">
        <v>0</v>
      </c>
      <c r="D46" s="174">
        <v>0</v>
      </c>
      <c r="E46" s="174">
        <v>0</v>
      </c>
      <c r="F46" s="174">
        <v>0</v>
      </c>
      <c r="G46" s="207"/>
      <c r="H46" s="207"/>
    </row>
    <row r="47" spans="1:10" ht="15" customHeight="1" x14ac:dyDescent="0.2">
      <c r="A47" s="57">
        <v>41</v>
      </c>
      <c r="B47" s="58" t="s">
        <v>223</v>
      </c>
      <c r="C47" s="174">
        <v>7</v>
      </c>
      <c r="D47" s="174">
        <v>29.13</v>
      </c>
      <c r="E47" s="174">
        <v>2</v>
      </c>
      <c r="F47" s="174">
        <v>2.56</v>
      </c>
      <c r="G47" s="207"/>
      <c r="H47" s="207"/>
    </row>
    <row r="48" spans="1:10" ht="15" customHeight="1" x14ac:dyDescent="0.2">
      <c r="A48" s="57">
        <v>42</v>
      </c>
      <c r="B48" s="58" t="s">
        <v>224</v>
      </c>
      <c r="C48" s="174">
        <v>0</v>
      </c>
      <c r="D48" s="174">
        <v>0</v>
      </c>
      <c r="E48" s="174">
        <v>0</v>
      </c>
      <c r="F48" s="174">
        <v>0</v>
      </c>
      <c r="G48" s="207"/>
      <c r="H48" s="207"/>
    </row>
    <row r="49" spans="1:8" ht="15" customHeight="1" x14ac:dyDescent="0.2">
      <c r="A49" s="57">
        <v>43</v>
      </c>
      <c r="B49" s="58" t="s">
        <v>73</v>
      </c>
      <c r="C49" s="174">
        <v>255</v>
      </c>
      <c r="D49" s="174">
        <v>467</v>
      </c>
      <c r="E49" s="174">
        <v>129</v>
      </c>
      <c r="F49" s="174">
        <v>246</v>
      </c>
      <c r="G49" s="207"/>
      <c r="H49" s="207"/>
    </row>
    <row r="50" spans="1:8" ht="15" customHeight="1" x14ac:dyDescent="0.2">
      <c r="A50" s="57">
        <v>44</v>
      </c>
      <c r="B50" s="58" t="s">
        <v>225</v>
      </c>
      <c r="C50" s="174">
        <v>1</v>
      </c>
      <c r="D50" s="174">
        <v>1</v>
      </c>
      <c r="E50" s="174">
        <v>0</v>
      </c>
      <c r="F50" s="174">
        <v>0</v>
      </c>
      <c r="G50" s="207"/>
      <c r="H50" s="207"/>
    </row>
    <row r="51" spans="1:8" ht="15" customHeight="1" x14ac:dyDescent="0.2">
      <c r="A51" s="57">
        <v>45</v>
      </c>
      <c r="B51" s="58" t="s">
        <v>226</v>
      </c>
      <c r="C51" s="174">
        <v>2341</v>
      </c>
      <c r="D51" s="174">
        <v>520</v>
      </c>
      <c r="E51" s="174">
        <v>1150</v>
      </c>
      <c r="F51" s="174">
        <v>256</v>
      </c>
      <c r="G51" s="207"/>
      <c r="H51" s="207"/>
    </row>
    <row r="52" spans="1:8" ht="15" customHeight="1" x14ac:dyDescent="0.2">
      <c r="A52" s="57">
        <v>46</v>
      </c>
      <c r="B52" s="58" t="s">
        <v>227</v>
      </c>
      <c r="C52" s="174">
        <v>0</v>
      </c>
      <c r="D52" s="174">
        <v>0</v>
      </c>
      <c r="E52" s="174">
        <v>0</v>
      </c>
      <c r="F52" s="174">
        <v>0</v>
      </c>
      <c r="G52" s="207"/>
      <c r="H52" s="207"/>
    </row>
    <row r="53" spans="1:8" ht="15" customHeight="1" x14ac:dyDescent="0.2">
      <c r="A53" s="57">
        <v>47</v>
      </c>
      <c r="B53" s="58" t="s">
        <v>77</v>
      </c>
      <c r="C53" s="174">
        <v>0</v>
      </c>
      <c r="D53" s="174">
        <v>0</v>
      </c>
      <c r="E53" s="174">
        <v>0</v>
      </c>
      <c r="F53" s="174">
        <v>0</v>
      </c>
      <c r="G53" s="207"/>
      <c r="H53" s="207"/>
    </row>
    <row r="54" spans="1:8" ht="15" customHeight="1" x14ac:dyDescent="0.2">
      <c r="A54" s="57">
        <v>48</v>
      </c>
      <c r="B54" s="58" t="s">
        <v>228</v>
      </c>
      <c r="C54" s="174">
        <v>0</v>
      </c>
      <c r="D54" s="174">
        <v>0</v>
      </c>
      <c r="E54" s="174">
        <v>0</v>
      </c>
      <c r="F54" s="174">
        <v>0</v>
      </c>
      <c r="G54" s="207"/>
      <c r="H54" s="207"/>
    </row>
    <row r="55" spans="1:8" ht="15" customHeight="1" x14ac:dyDescent="0.2">
      <c r="A55" s="57">
        <v>49</v>
      </c>
      <c r="B55" s="58" t="s">
        <v>76</v>
      </c>
      <c r="C55" s="174">
        <v>0</v>
      </c>
      <c r="D55" s="174">
        <v>0</v>
      </c>
      <c r="E55" s="174">
        <v>0</v>
      </c>
      <c r="F55" s="174">
        <v>0</v>
      </c>
      <c r="G55" s="207"/>
      <c r="H55" s="207"/>
    </row>
    <row r="56" spans="1:8" s="286" customFormat="1" ht="15" customHeight="1" x14ac:dyDescent="0.2">
      <c r="A56" s="60" t="s">
        <v>348</v>
      </c>
      <c r="B56" s="60" t="s">
        <v>289</v>
      </c>
      <c r="C56" s="176">
        <f>SUM(C34:C55)</f>
        <v>67878</v>
      </c>
      <c r="D56" s="176">
        <f t="shared" ref="D56:F56" si="1">SUM(D34:D55)</f>
        <v>23177.27</v>
      </c>
      <c r="E56" s="176">
        <f t="shared" si="1"/>
        <v>24523</v>
      </c>
      <c r="F56" s="176">
        <f t="shared" si="1"/>
        <v>13898.449999999999</v>
      </c>
      <c r="G56" s="207"/>
      <c r="H56" s="207"/>
    </row>
    <row r="57" spans="1:8" ht="15" customHeight="1" x14ac:dyDescent="0.2">
      <c r="A57" s="57">
        <v>50</v>
      </c>
      <c r="B57" s="58" t="s">
        <v>46</v>
      </c>
      <c r="C57" s="174">
        <v>2109</v>
      </c>
      <c r="D57" s="174">
        <v>2702</v>
      </c>
      <c r="E57" s="174">
        <v>2883</v>
      </c>
      <c r="F57" s="174">
        <v>3279</v>
      </c>
      <c r="G57" s="207"/>
      <c r="H57" s="207"/>
    </row>
    <row r="58" spans="1:8" ht="15" customHeight="1" x14ac:dyDescent="0.2">
      <c r="A58" s="57">
        <v>51</v>
      </c>
      <c r="B58" s="58" t="s">
        <v>229</v>
      </c>
      <c r="C58" s="174">
        <v>54212</v>
      </c>
      <c r="D58" s="174">
        <v>5813</v>
      </c>
      <c r="E58" s="174">
        <v>17587</v>
      </c>
      <c r="F58" s="174">
        <v>2178</v>
      </c>
      <c r="G58" s="207"/>
      <c r="H58" s="207"/>
    </row>
    <row r="59" spans="1:8" ht="15" customHeight="1" x14ac:dyDescent="0.2">
      <c r="A59" s="57">
        <v>52</v>
      </c>
      <c r="B59" s="58" t="s">
        <v>52</v>
      </c>
      <c r="C59" s="174">
        <v>746</v>
      </c>
      <c r="D59" s="174">
        <v>722.19</v>
      </c>
      <c r="E59" s="174">
        <v>882</v>
      </c>
      <c r="F59" s="174">
        <v>832.49</v>
      </c>
      <c r="G59" s="207"/>
      <c r="H59" s="207"/>
    </row>
    <row r="60" spans="1:8" s="286" customFormat="1" ht="15" customHeight="1" x14ac:dyDescent="0.2">
      <c r="A60" s="281" t="s">
        <v>348</v>
      </c>
      <c r="B60" s="282" t="s">
        <v>295</v>
      </c>
      <c r="C60" s="176">
        <f>SUM(C57:C59)</f>
        <v>57067</v>
      </c>
      <c r="D60" s="176">
        <f t="shared" ref="D60:F60" si="2">SUM(D57:D59)</f>
        <v>9237.19</v>
      </c>
      <c r="E60" s="176">
        <f t="shared" si="2"/>
        <v>21352</v>
      </c>
      <c r="F60" s="176">
        <f t="shared" si="2"/>
        <v>6289.49</v>
      </c>
      <c r="G60" s="207"/>
      <c r="H60" s="207"/>
    </row>
    <row r="61" spans="1:8" ht="15" customHeight="1" x14ac:dyDescent="0.2">
      <c r="A61" s="278">
        <v>53</v>
      </c>
      <c r="B61" s="279" t="s">
        <v>290</v>
      </c>
      <c r="C61" s="174">
        <v>12251</v>
      </c>
      <c r="D61" s="174">
        <v>9471</v>
      </c>
      <c r="E61" s="174">
        <v>22384</v>
      </c>
      <c r="F61" s="174">
        <v>70620</v>
      </c>
      <c r="G61" s="207"/>
      <c r="H61" s="207"/>
    </row>
    <row r="62" spans="1:8" s="286" customFormat="1" ht="15" customHeight="1" x14ac:dyDescent="0.2">
      <c r="A62" s="281" t="s">
        <v>348</v>
      </c>
      <c r="B62" s="282" t="s">
        <v>291</v>
      </c>
      <c r="C62" s="176">
        <v>12251</v>
      </c>
      <c r="D62" s="176">
        <v>9471</v>
      </c>
      <c r="E62" s="176">
        <v>2103</v>
      </c>
      <c r="F62" s="176">
        <v>620</v>
      </c>
      <c r="G62" s="207"/>
      <c r="H62" s="207"/>
    </row>
    <row r="63" spans="1:8" s="286" customFormat="1" ht="15" customHeight="1" x14ac:dyDescent="0.2">
      <c r="A63" s="281" t="s">
        <v>348</v>
      </c>
      <c r="B63" s="282" t="s">
        <v>292</v>
      </c>
      <c r="C63" s="176">
        <f>C62+C60+C56+C33</f>
        <v>154434</v>
      </c>
      <c r="D63" s="176">
        <f t="shared" ref="D63:F63" si="3">D62+D60+D56+D33</f>
        <v>71339.16</v>
      </c>
      <c r="E63" s="176">
        <f t="shared" si="3"/>
        <v>58167</v>
      </c>
      <c r="F63" s="176">
        <f t="shared" si="3"/>
        <v>36562.269999999997</v>
      </c>
      <c r="G63" s="207"/>
      <c r="H63" s="207"/>
    </row>
    <row r="64" spans="1:8" x14ac:dyDescent="0.2">
      <c r="H64" s="207"/>
    </row>
    <row r="65" spans="2:2" x14ac:dyDescent="0.2">
      <c r="B65" s="421" t="s">
        <v>1235</v>
      </c>
    </row>
  </sheetData>
  <mergeCells count="6">
    <mergeCell ref="A1:F1"/>
    <mergeCell ref="B3:D3"/>
    <mergeCell ref="A4:A5"/>
    <mergeCell ref="B4:B5"/>
    <mergeCell ref="C4:D4"/>
    <mergeCell ref="E4:F4"/>
  </mergeCells>
  <conditionalFormatting sqref="B6">
    <cfRule type="duplicateValues" dxfId="15" priority="2"/>
  </conditionalFormatting>
  <conditionalFormatting sqref="B22">
    <cfRule type="duplicateValues" dxfId="14" priority="3"/>
  </conditionalFormatting>
  <conditionalFormatting sqref="B33:B34 B26:B30">
    <cfRule type="duplicateValues" dxfId="13" priority="4"/>
  </conditionalFormatting>
  <conditionalFormatting sqref="B52">
    <cfRule type="duplicateValues" dxfId="12" priority="5"/>
  </conditionalFormatting>
  <conditionalFormatting sqref="B56">
    <cfRule type="duplicateValues" dxfId="11" priority="6"/>
  </conditionalFormatting>
  <conditionalFormatting sqref="B58">
    <cfRule type="duplicateValues" dxfId="10" priority="7"/>
  </conditionalFormatting>
  <conditionalFormatting sqref="H1:H1048576">
    <cfRule type="cellIs" dxfId="9" priority="1" operator="lessThan">
      <formula>0</formula>
    </cfRule>
  </conditionalFormatting>
  <pageMargins left="0.7" right="0.7" top="0.25" bottom="0.25" header="0.3" footer="0.3"/>
  <pageSetup paperSize="9" scale="8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67"/>
  <sheetViews>
    <sheetView view="pageBreakPreview" zoomScale="60" zoomScaleNormal="100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K58" sqref="K58"/>
    </sheetView>
  </sheetViews>
  <sheetFormatPr defaultRowHeight="12.75" x14ac:dyDescent="0.2"/>
  <cols>
    <col min="1" max="1" width="6.5703125" style="205" customWidth="1"/>
    <col min="2" max="2" width="24.42578125" style="205" bestFit="1" customWidth="1"/>
    <col min="3" max="3" width="15" style="205" customWidth="1"/>
    <col min="4" max="6" width="12.42578125" style="205" customWidth="1"/>
    <col min="7" max="7" width="13" style="205" customWidth="1"/>
    <col min="8" max="8" width="11.7109375" style="205" customWidth="1"/>
    <col min="9" max="16384" width="9.140625" style="205"/>
  </cols>
  <sheetData>
    <row r="1" spans="1:8" ht="18.75" x14ac:dyDescent="0.2">
      <c r="A1" s="536" t="s">
        <v>373</v>
      </c>
      <c r="B1" s="536"/>
      <c r="C1" s="536"/>
      <c r="D1" s="536"/>
      <c r="E1" s="536"/>
      <c r="F1" s="536"/>
      <c r="G1" s="536"/>
      <c r="H1" s="536"/>
    </row>
    <row r="2" spans="1:8" ht="14.25" x14ac:dyDescent="0.2">
      <c r="A2" s="48"/>
      <c r="B2" s="48"/>
      <c r="C2" s="48"/>
      <c r="D2" s="48"/>
      <c r="E2" s="48"/>
      <c r="F2" s="48"/>
      <c r="G2" s="48"/>
      <c r="H2" s="48"/>
    </row>
    <row r="3" spans="1:8" ht="15.75" x14ac:dyDescent="0.2">
      <c r="A3" s="33"/>
      <c r="B3" s="466" t="s">
        <v>12</v>
      </c>
      <c r="C3" s="466"/>
      <c r="D3" s="466"/>
      <c r="E3" s="326"/>
      <c r="F3" s="326"/>
      <c r="H3" s="204" t="s">
        <v>201</v>
      </c>
    </row>
    <row r="4" spans="1:8" ht="54.95" customHeight="1" x14ac:dyDescent="0.2">
      <c r="A4" s="578" t="s">
        <v>231</v>
      </c>
      <c r="B4" s="578" t="s">
        <v>3</v>
      </c>
      <c r="C4" s="576" t="s">
        <v>202</v>
      </c>
      <c r="D4" s="577"/>
      <c r="E4" s="576" t="s">
        <v>203</v>
      </c>
      <c r="F4" s="577"/>
      <c r="G4" s="532" t="s">
        <v>374</v>
      </c>
      <c r="H4" s="532"/>
    </row>
    <row r="5" spans="1:8" ht="13.5" x14ac:dyDescent="0.2">
      <c r="A5" s="579"/>
      <c r="B5" s="580"/>
      <c r="C5" s="323" t="s">
        <v>30</v>
      </c>
      <c r="D5" s="323" t="s">
        <v>17</v>
      </c>
      <c r="E5" s="323" t="s">
        <v>30</v>
      </c>
      <c r="F5" s="323" t="s">
        <v>17</v>
      </c>
      <c r="G5" s="323" t="s">
        <v>30</v>
      </c>
      <c r="H5" s="323" t="s">
        <v>17</v>
      </c>
    </row>
    <row r="6" spans="1:8" ht="15" customHeight="1" x14ac:dyDescent="0.2">
      <c r="A6" s="119">
        <v>1</v>
      </c>
      <c r="B6" s="99" t="s">
        <v>55</v>
      </c>
      <c r="C6" s="174">
        <v>23568</v>
      </c>
      <c r="D6" s="174">
        <v>48756</v>
      </c>
      <c r="E6" s="174">
        <v>13856</v>
      </c>
      <c r="F6" s="174">
        <v>11742</v>
      </c>
      <c r="G6" s="174">
        <v>1589</v>
      </c>
      <c r="H6" s="174">
        <v>2385</v>
      </c>
    </row>
    <row r="7" spans="1:8" ht="15" customHeight="1" x14ac:dyDescent="0.2">
      <c r="A7" s="119">
        <v>2</v>
      </c>
      <c r="B7" s="99" t="s">
        <v>56</v>
      </c>
      <c r="C7" s="174">
        <v>1697</v>
      </c>
      <c r="D7" s="174">
        <v>5103</v>
      </c>
      <c r="E7" s="174">
        <v>54</v>
      </c>
      <c r="F7" s="174">
        <v>42.11</v>
      </c>
      <c r="G7" s="174">
        <v>343</v>
      </c>
      <c r="H7" s="174">
        <v>1013.08</v>
      </c>
    </row>
    <row r="8" spans="1:8" ht="15" customHeight="1" x14ac:dyDescent="0.2">
      <c r="A8" s="119">
        <v>3</v>
      </c>
      <c r="B8" s="99" t="s">
        <v>57</v>
      </c>
      <c r="C8" s="174">
        <v>76673</v>
      </c>
      <c r="D8" s="174">
        <v>70309</v>
      </c>
      <c r="E8" s="174">
        <v>16782</v>
      </c>
      <c r="F8" s="174">
        <v>9053</v>
      </c>
      <c r="G8" s="174">
        <v>1437</v>
      </c>
      <c r="H8" s="174">
        <v>1012</v>
      </c>
    </row>
    <row r="9" spans="1:8" ht="15" customHeight="1" x14ac:dyDescent="0.2">
      <c r="A9" s="119">
        <v>4</v>
      </c>
      <c r="B9" s="99" t="s">
        <v>58</v>
      </c>
      <c r="C9" s="174">
        <v>183024</v>
      </c>
      <c r="D9" s="174">
        <v>111546</v>
      </c>
      <c r="E9" s="174">
        <v>101308</v>
      </c>
      <c r="F9" s="174">
        <v>68328</v>
      </c>
      <c r="G9" s="174">
        <v>45755</v>
      </c>
      <c r="H9" s="174">
        <v>25654</v>
      </c>
    </row>
    <row r="10" spans="1:8" ht="15" customHeight="1" x14ac:dyDescent="0.2">
      <c r="A10" s="119">
        <v>5</v>
      </c>
      <c r="B10" s="99" t="s">
        <v>59</v>
      </c>
      <c r="C10" s="174">
        <v>19805</v>
      </c>
      <c r="D10" s="174">
        <v>49371</v>
      </c>
      <c r="E10" s="174">
        <v>2803</v>
      </c>
      <c r="F10" s="174">
        <v>2493</v>
      </c>
      <c r="G10" s="174">
        <v>242</v>
      </c>
      <c r="H10" s="174">
        <v>403</v>
      </c>
    </row>
    <row r="11" spans="1:8" ht="15" customHeight="1" x14ac:dyDescent="0.2">
      <c r="A11" s="119">
        <v>6</v>
      </c>
      <c r="B11" s="120" t="s">
        <v>242</v>
      </c>
      <c r="C11" s="174">
        <v>484</v>
      </c>
      <c r="D11" s="174">
        <v>630</v>
      </c>
      <c r="E11" s="174">
        <v>367</v>
      </c>
      <c r="F11" s="174">
        <v>570</v>
      </c>
      <c r="G11" s="174">
        <v>44</v>
      </c>
      <c r="H11" s="174">
        <v>25.42</v>
      </c>
    </row>
    <row r="12" spans="1:8" ht="15" customHeight="1" x14ac:dyDescent="0.2">
      <c r="A12" s="119">
        <v>7</v>
      </c>
      <c r="B12" s="99" t="s">
        <v>60</v>
      </c>
      <c r="C12" s="174">
        <v>12878</v>
      </c>
      <c r="D12" s="174">
        <v>21025</v>
      </c>
      <c r="E12" s="174">
        <v>8514</v>
      </c>
      <c r="F12" s="174">
        <v>14679</v>
      </c>
      <c r="G12" s="174">
        <v>690</v>
      </c>
      <c r="H12" s="174">
        <v>3193</v>
      </c>
    </row>
    <row r="13" spans="1:8" ht="15" customHeight="1" x14ac:dyDescent="0.2">
      <c r="A13" s="119">
        <v>8</v>
      </c>
      <c r="B13" s="99" t="s">
        <v>61</v>
      </c>
      <c r="C13" s="174">
        <v>72605</v>
      </c>
      <c r="D13" s="174">
        <v>110509</v>
      </c>
      <c r="E13" s="174">
        <v>46873</v>
      </c>
      <c r="F13" s="174">
        <v>17203</v>
      </c>
      <c r="G13" s="174">
        <v>8062</v>
      </c>
      <c r="H13" s="174">
        <v>14564</v>
      </c>
    </row>
    <row r="14" spans="1:8" ht="15" customHeight="1" x14ac:dyDescent="0.2">
      <c r="A14" s="119">
        <v>9</v>
      </c>
      <c r="B14" s="99" t="s">
        <v>48</v>
      </c>
      <c r="C14" s="174">
        <v>3057</v>
      </c>
      <c r="D14" s="174">
        <v>9277</v>
      </c>
      <c r="E14" s="174">
        <v>1282</v>
      </c>
      <c r="F14" s="174">
        <v>716</v>
      </c>
      <c r="G14" s="174">
        <v>418</v>
      </c>
      <c r="H14" s="174">
        <v>393</v>
      </c>
    </row>
    <row r="15" spans="1:8" ht="15" customHeight="1" x14ac:dyDescent="0.2">
      <c r="A15" s="119">
        <v>10</v>
      </c>
      <c r="B15" s="99" t="s">
        <v>49</v>
      </c>
      <c r="C15" s="174">
        <v>5832</v>
      </c>
      <c r="D15" s="174">
        <v>12017</v>
      </c>
      <c r="E15" s="174">
        <v>3025</v>
      </c>
      <c r="F15" s="174">
        <v>814</v>
      </c>
      <c r="G15" s="174">
        <v>526</v>
      </c>
      <c r="H15" s="174">
        <v>1175</v>
      </c>
    </row>
    <row r="16" spans="1:8" ht="15" customHeight="1" x14ac:dyDescent="0.2">
      <c r="A16" s="119">
        <v>11</v>
      </c>
      <c r="B16" s="99" t="s">
        <v>81</v>
      </c>
      <c r="C16" s="174">
        <v>34629</v>
      </c>
      <c r="D16" s="174">
        <v>38889</v>
      </c>
      <c r="E16" s="174">
        <v>6523</v>
      </c>
      <c r="F16" s="174">
        <v>5825</v>
      </c>
      <c r="G16" s="174">
        <v>14616</v>
      </c>
      <c r="H16" s="174">
        <v>8654</v>
      </c>
    </row>
    <row r="17" spans="1:8" ht="15" customHeight="1" x14ac:dyDescent="0.2">
      <c r="A17" s="119">
        <v>12</v>
      </c>
      <c r="B17" s="99" t="s">
        <v>62</v>
      </c>
      <c r="C17" s="174">
        <v>845</v>
      </c>
      <c r="D17" s="174">
        <v>2017.21</v>
      </c>
      <c r="E17" s="174">
        <v>0</v>
      </c>
      <c r="F17" s="174">
        <v>0</v>
      </c>
      <c r="G17" s="174">
        <v>2</v>
      </c>
      <c r="H17" s="174">
        <v>20</v>
      </c>
    </row>
    <row r="18" spans="1:8" ht="15" customHeight="1" x14ac:dyDescent="0.2">
      <c r="A18" s="119">
        <v>13</v>
      </c>
      <c r="B18" s="99" t="s">
        <v>63</v>
      </c>
      <c r="C18" s="174">
        <v>2341</v>
      </c>
      <c r="D18" s="174">
        <v>10840</v>
      </c>
      <c r="E18" s="174">
        <v>441</v>
      </c>
      <c r="F18" s="174">
        <v>179</v>
      </c>
      <c r="G18" s="174">
        <v>73</v>
      </c>
      <c r="H18" s="174">
        <v>159</v>
      </c>
    </row>
    <row r="19" spans="1:8" ht="15" customHeight="1" x14ac:dyDescent="0.2">
      <c r="A19" s="119">
        <v>14</v>
      </c>
      <c r="B19" s="270" t="s">
        <v>207</v>
      </c>
      <c r="C19" s="174">
        <v>5579</v>
      </c>
      <c r="D19" s="174">
        <v>15167</v>
      </c>
      <c r="E19" s="174">
        <v>2443</v>
      </c>
      <c r="F19" s="174">
        <v>1515.28</v>
      </c>
      <c r="G19" s="174">
        <v>2091</v>
      </c>
      <c r="H19" s="174">
        <v>7458</v>
      </c>
    </row>
    <row r="20" spans="1:8" ht="15" customHeight="1" x14ac:dyDescent="0.2">
      <c r="A20" s="119">
        <v>15</v>
      </c>
      <c r="B20" s="99" t="s">
        <v>208</v>
      </c>
      <c r="C20" s="174">
        <v>2677</v>
      </c>
      <c r="D20" s="174">
        <v>6544.09</v>
      </c>
      <c r="E20" s="174">
        <v>13</v>
      </c>
      <c r="F20" s="174">
        <v>26.54</v>
      </c>
      <c r="G20" s="174">
        <v>481</v>
      </c>
      <c r="H20" s="174">
        <v>1827.83</v>
      </c>
    </row>
    <row r="21" spans="1:8" ht="15" customHeight="1" x14ac:dyDescent="0.2">
      <c r="A21" s="119">
        <v>16</v>
      </c>
      <c r="B21" s="99" t="s">
        <v>64</v>
      </c>
      <c r="C21" s="174">
        <v>57332</v>
      </c>
      <c r="D21" s="174">
        <v>111992</v>
      </c>
      <c r="E21" s="174">
        <v>39112</v>
      </c>
      <c r="F21" s="174">
        <v>35272</v>
      </c>
      <c r="G21" s="174">
        <v>23382</v>
      </c>
      <c r="H21" s="174">
        <v>48735</v>
      </c>
    </row>
    <row r="22" spans="1:8" ht="15" customHeight="1" x14ac:dyDescent="0.2">
      <c r="A22" s="119">
        <v>17</v>
      </c>
      <c r="B22" s="270" t="s">
        <v>69</v>
      </c>
      <c r="C22" s="174">
        <v>97</v>
      </c>
      <c r="D22" s="174">
        <v>433.62</v>
      </c>
      <c r="E22" s="174">
        <v>0</v>
      </c>
      <c r="F22" s="174">
        <v>0</v>
      </c>
      <c r="G22" s="174">
        <v>12</v>
      </c>
      <c r="H22" s="174">
        <v>56.96</v>
      </c>
    </row>
    <row r="23" spans="1:8" ht="15" customHeight="1" x14ac:dyDescent="0.2">
      <c r="A23" s="119">
        <v>18</v>
      </c>
      <c r="B23" s="99" t="s">
        <v>209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</row>
    <row r="24" spans="1:8" ht="15" customHeight="1" x14ac:dyDescent="0.2">
      <c r="A24" s="119">
        <v>19</v>
      </c>
      <c r="B24" s="271" t="s">
        <v>210</v>
      </c>
      <c r="C24" s="174">
        <v>92</v>
      </c>
      <c r="D24" s="174">
        <v>484.91</v>
      </c>
      <c r="E24" s="174">
        <v>3</v>
      </c>
      <c r="F24" s="174">
        <v>1.5</v>
      </c>
      <c r="G24" s="174">
        <v>15</v>
      </c>
      <c r="H24" s="174">
        <v>43</v>
      </c>
    </row>
    <row r="25" spans="1:8" ht="15" customHeight="1" x14ac:dyDescent="0.2">
      <c r="A25" s="119">
        <v>20</v>
      </c>
      <c r="B25" s="99" t="s">
        <v>211</v>
      </c>
      <c r="C25" s="174">
        <v>40</v>
      </c>
      <c r="D25" s="174">
        <v>240</v>
      </c>
      <c r="E25" s="174">
        <v>0</v>
      </c>
      <c r="F25" s="174">
        <v>0</v>
      </c>
      <c r="G25" s="174">
        <v>16</v>
      </c>
      <c r="H25" s="174">
        <v>68</v>
      </c>
    </row>
    <row r="26" spans="1:8" ht="15" customHeight="1" x14ac:dyDescent="0.2">
      <c r="A26" s="119">
        <v>21</v>
      </c>
      <c r="B26" s="99" t="s">
        <v>212</v>
      </c>
      <c r="C26" s="174">
        <v>116</v>
      </c>
      <c r="D26" s="174">
        <v>14448</v>
      </c>
      <c r="E26" s="174">
        <v>48</v>
      </c>
      <c r="F26" s="174">
        <v>42</v>
      </c>
      <c r="G26" s="174">
        <v>68</v>
      </c>
      <c r="H26" s="174">
        <v>14406</v>
      </c>
    </row>
    <row r="27" spans="1:8" ht="15" customHeight="1" x14ac:dyDescent="0.2">
      <c r="A27" s="119">
        <v>22</v>
      </c>
      <c r="B27" s="99" t="s">
        <v>70</v>
      </c>
      <c r="C27" s="174">
        <v>187765</v>
      </c>
      <c r="D27" s="174">
        <v>463058</v>
      </c>
      <c r="E27" s="174">
        <v>84677</v>
      </c>
      <c r="F27" s="174">
        <v>40998</v>
      </c>
      <c r="G27" s="174">
        <v>34160</v>
      </c>
      <c r="H27" s="174">
        <v>95651</v>
      </c>
    </row>
    <row r="28" spans="1:8" ht="15" customHeight="1" x14ac:dyDescent="0.2">
      <c r="A28" s="119">
        <v>23</v>
      </c>
      <c r="B28" s="99" t="s">
        <v>65</v>
      </c>
      <c r="C28" s="174">
        <v>7589</v>
      </c>
      <c r="D28" s="174">
        <v>29016</v>
      </c>
      <c r="E28" s="174">
        <v>2120</v>
      </c>
      <c r="F28" s="174">
        <v>12125</v>
      </c>
      <c r="G28" s="174">
        <v>1076</v>
      </c>
      <c r="H28" s="174">
        <v>6919</v>
      </c>
    </row>
    <row r="29" spans="1:8" ht="15" customHeight="1" x14ac:dyDescent="0.2">
      <c r="A29" s="119">
        <v>24</v>
      </c>
      <c r="B29" s="99" t="s">
        <v>213</v>
      </c>
      <c r="C29" s="174">
        <v>23884</v>
      </c>
      <c r="D29" s="174">
        <v>40920</v>
      </c>
      <c r="E29" s="174">
        <v>10603</v>
      </c>
      <c r="F29" s="174">
        <v>9494</v>
      </c>
      <c r="G29" s="174">
        <v>569</v>
      </c>
      <c r="H29" s="174">
        <v>1907</v>
      </c>
    </row>
    <row r="30" spans="1:8" ht="15" customHeight="1" x14ac:dyDescent="0.2">
      <c r="A30" s="119">
        <v>25</v>
      </c>
      <c r="B30" s="99" t="s">
        <v>66</v>
      </c>
      <c r="C30" s="174">
        <v>36272</v>
      </c>
      <c r="D30" s="174">
        <v>73914</v>
      </c>
      <c r="E30" s="174">
        <v>8284</v>
      </c>
      <c r="F30" s="174">
        <v>1919</v>
      </c>
      <c r="G30" s="174">
        <v>853</v>
      </c>
      <c r="H30" s="174">
        <v>200</v>
      </c>
    </row>
    <row r="31" spans="1:8" ht="15" customHeight="1" x14ac:dyDescent="0.2">
      <c r="A31" s="119">
        <v>26</v>
      </c>
      <c r="B31" s="120" t="s">
        <v>67</v>
      </c>
      <c r="C31" s="174">
        <v>154</v>
      </c>
      <c r="D31" s="174">
        <v>2501</v>
      </c>
      <c r="E31" s="174">
        <v>3</v>
      </c>
      <c r="F31" s="174">
        <v>3</v>
      </c>
      <c r="G31" s="174">
        <v>3</v>
      </c>
      <c r="H31" s="174">
        <v>3</v>
      </c>
    </row>
    <row r="32" spans="1:8" ht="15" customHeight="1" x14ac:dyDescent="0.2">
      <c r="A32" s="119">
        <v>27</v>
      </c>
      <c r="B32" s="99" t="s">
        <v>50</v>
      </c>
      <c r="C32" s="174">
        <v>4231</v>
      </c>
      <c r="D32" s="174">
        <v>11796</v>
      </c>
      <c r="E32" s="174">
        <v>1636</v>
      </c>
      <c r="F32" s="174">
        <v>521.23</v>
      </c>
      <c r="G32" s="174">
        <v>1187</v>
      </c>
      <c r="H32" s="174">
        <v>3353.94</v>
      </c>
    </row>
    <row r="33" spans="1:8" s="286" customFormat="1" ht="15" customHeight="1" x14ac:dyDescent="0.2">
      <c r="A33" s="321" t="s">
        <v>348</v>
      </c>
      <c r="B33" s="106" t="s">
        <v>288</v>
      </c>
      <c r="C33" s="176">
        <f>SUM(C6:C32)</f>
        <v>763266</v>
      </c>
      <c r="D33" s="176">
        <f t="shared" ref="D33:H33" si="0">SUM(D6:D32)</f>
        <v>1260803.83</v>
      </c>
      <c r="E33" s="176">
        <f t="shared" si="0"/>
        <v>350770</v>
      </c>
      <c r="F33" s="176">
        <f t="shared" si="0"/>
        <v>233561.66</v>
      </c>
      <c r="G33" s="176">
        <f t="shared" si="0"/>
        <v>137710</v>
      </c>
      <c r="H33" s="176">
        <f t="shared" si="0"/>
        <v>239279.23</v>
      </c>
    </row>
    <row r="34" spans="1:8" ht="15" customHeight="1" x14ac:dyDescent="0.2">
      <c r="A34" s="119">
        <v>28</v>
      </c>
      <c r="B34" s="99" t="s">
        <v>47</v>
      </c>
      <c r="C34" s="174">
        <v>145954</v>
      </c>
      <c r="D34" s="174">
        <v>32575.42</v>
      </c>
      <c r="E34" s="174">
        <v>0</v>
      </c>
      <c r="F34" s="174">
        <v>0</v>
      </c>
      <c r="G34" s="174">
        <v>23086</v>
      </c>
      <c r="H34" s="174">
        <v>8073.88</v>
      </c>
    </row>
    <row r="35" spans="1:8" ht="15" customHeight="1" x14ac:dyDescent="0.2">
      <c r="A35" s="119">
        <v>29</v>
      </c>
      <c r="B35" s="99" t="s">
        <v>215</v>
      </c>
      <c r="C35" s="174">
        <v>189964</v>
      </c>
      <c r="D35" s="174">
        <v>41133</v>
      </c>
      <c r="E35" s="174">
        <v>0</v>
      </c>
      <c r="F35" s="174">
        <v>0</v>
      </c>
      <c r="G35" s="174">
        <v>189964</v>
      </c>
      <c r="H35" s="174">
        <v>41133</v>
      </c>
    </row>
    <row r="36" spans="1:8" ht="15" customHeight="1" x14ac:dyDescent="0.2">
      <c r="A36" s="119">
        <v>30</v>
      </c>
      <c r="B36" s="99" t="s">
        <v>216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</row>
    <row r="37" spans="1:8" ht="15" customHeight="1" x14ac:dyDescent="0.2">
      <c r="A37" s="119">
        <v>31</v>
      </c>
      <c r="B37" s="99" t="s">
        <v>78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</row>
    <row r="38" spans="1:8" ht="15" customHeight="1" x14ac:dyDescent="0.2">
      <c r="A38" s="119">
        <v>32</v>
      </c>
      <c r="B38" s="99" t="s">
        <v>51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</row>
    <row r="39" spans="1:8" ht="15" customHeight="1" x14ac:dyDescent="0.2">
      <c r="A39" s="119">
        <v>33</v>
      </c>
      <c r="B39" s="99" t="s">
        <v>217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</row>
    <row r="40" spans="1:8" ht="15" customHeight="1" x14ac:dyDescent="0.2">
      <c r="A40" s="119">
        <v>34</v>
      </c>
      <c r="B40" s="99" t="s">
        <v>218</v>
      </c>
      <c r="C40" s="174">
        <v>5</v>
      </c>
      <c r="D40" s="174">
        <v>3.56</v>
      </c>
      <c r="E40" s="174">
        <v>4</v>
      </c>
      <c r="F40" s="174">
        <v>1.5</v>
      </c>
      <c r="G40" s="174">
        <v>0</v>
      </c>
      <c r="H40" s="174">
        <v>0</v>
      </c>
    </row>
    <row r="41" spans="1:8" ht="15" customHeight="1" x14ac:dyDescent="0.2">
      <c r="A41" s="119">
        <v>35</v>
      </c>
      <c r="B41" s="99" t="s">
        <v>219</v>
      </c>
      <c r="C41" s="174">
        <v>951</v>
      </c>
      <c r="D41" s="174">
        <v>1561.81</v>
      </c>
      <c r="E41" s="174">
        <v>528</v>
      </c>
      <c r="F41" s="174">
        <v>204.83</v>
      </c>
      <c r="G41" s="174">
        <v>913</v>
      </c>
      <c r="H41" s="174">
        <v>1339.13</v>
      </c>
    </row>
    <row r="42" spans="1:8" ht="15" customHeight="1" x14ac:dyDescent="0.2">
      <c r="A42" s="119">
        <v>36</v>
      </c>
      <c r="B42" s="99" t="s">
        <v>71</v>
      </c>
      <c r="C42" s="174">
        <v>146455</v>
      </c>
      <c r="D42" s="174">
        <v>48119</v>
      </c>
      <c r="E42" s="174">
        <v>109310</v>
      </c>
      <c r="F42" s="174">
        <v>14463</v>
      </c>
      <c r="G42" s="174">
        <v>61194</v>
      </c>
      <c r="H42" s="174">
        <v>29107</v>
      </c>
    </row>
    <row r="43" spans="1:8" ht="15" customHeight="1" x14ac:dyDescent="0.2">
      <c r="A43" s="119">
        <v>37</v>
      </c>
      <c r="B43" s="99" t="s">
        <v>72</v>
      </c>
      <c r="C43" s="174">
        <v>41744</v>
      </c>
      <c r="D43" s="174">
        <v>185015</v>
      </c>
      <c r="E43" s="174">
        <v>7040</v>
      </c>
      <c r="F43" s="174">
        <v>3440</v>
      </c>
      <c r="G43" s="174">
        <v>12554</v>
      </c>
      <c r="H43" s="174">
        <v>46928</v>
      </c>
    </row>
    <row r="44" spans="1:8" ht="15" customHeight="1" x14ac:dyDescent="0.2">
      <c r="A44" s="119">
        <v>38</v>
      </c>
      <c r="B44" s="99" t="s">
        <v>220</v>
      </c>
      <c r="C44" s="174">
        <v>133976</v>
      </c>
      <c r="D44" s="174">
        <v>12853</v>
      </c>
      <c r="E44" s="174">
        <v>133976</v>
      </c>
      <c r="F44" s="174">
        <v>12853</v>
      </c>
      <c r="G44" s="174">
        <v>123442</v>
      </c>
      <c r="H44" s="174">
        <v>17014</v>
      </c>
    </row>
    <row r="45" spans="1:8" ht="15" customHeight="1" x14ac:dyDescent="0.2">
      <c r="A45" s="119">
        <v>39</v>
      </c>
      <c r="B45" s="99" t="s">
        <v>221</v>
      </c>
      <c r="C45" s="174">
        <v>6929</v>
      </c>
      <c r="D45" s="174">
        <v>9959</v>
      </c>
      <c r="E45" s="174">
        <v>0</v>
      </c>
      <c r="F45" s="174">
        <v>0</v>
      </c>
      <c r="G45" s="174">
        <v>0</v>
      </c>
      <c r="H45" s="174">
        <v>0</v>
      </c>
    </row>
    <row r="46" spans="1:8" ht="15" customHeight="1" x14ac:dyDescent="0.2">
      <c r="A46" s="119">
        <v>40</v>
      </c>
      <c r="B46" s="99" t="s">
        <v>222</v>
      </c>
      <c r="C46" s="174">
        <v>50</v>
      </c>
      <c r="D46" s="174">
        <v>165</v>
      </c>
      <c r="E46" s="174">
        <v>2</v>
      </c>
      <c r="F46" s="174">
        <v>1</v>
      </c>
      <c r="G46" s="174">
        <v>5</v>
      </c>
      <c r="H46" s="174">
        <v>10</v>
      </c>
    </row>
    <row r="47" spans="1:8" ht="15" customHeight="1" x14ac:dyDescent="0.2">
      <c r="A47" s="119">
        <v>41</v>
      </c>
      <c r="B47" s="99" t="s">
        <v>223</v>
      </c>
      <c r="C47" s="174">
        <v>114</v>
      </c>
      <c r="D47" s="174">
        <v>1456.66</v>
      </c>
      <c r="E47" s="174">
        <v>4</v>
      </c>
      <c r="F47" s="174">
        <v>0.74</v>
      </c>
      <c r="G47" s="174">
        <v>31</v>
      </c>
      <c r="H47" s="174">
        <v>204.56</v>
      </c>
    </row>
    <row r="48" spans="1:8" ht="15" customHeight="1" x14ac:dyDescent="0.2">
      <c r="A48" s="119">
        <v>42</v>
      </c>
      <c r="B48" s="99" t="s">
        <v>224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</row>
    <row r="49" spans="1:8" ht="15" customHeight="1" x14ac:dyDescent="0.2">
      <c r="A49" s="119">
        <v>43</v>
      </c>
      <c r="B49" s="99" t="s">
        <v>73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</row>
    <row r="50" spans="1:8" ht="15" customHeight="1" x14ac:dyDescent="0.2">
      <c r="A50" s="119">
        <v>44</v>
      </c>
      <c r="B50" s="99" t="s">
        <v>225</v>
      </c>
      <c r="C50" s="174">
        <v>27</v>
      </c>
      <c r="D50" s="174">
        <v>74</v>
      </c>
      <c r="E50" s="174">
        <v>4</v>
      </c>
      <c r="F50" s="174">
        <v>2</v>
      </c>
      <c r="G50" s="174">
        <v>0</v>
      </c>
      <c r="H50" s="174">
        <v>0</v>
      </c>
    </row>
    <row r="51" spans="1:8" ht="15" customHeight="1" x14ac:dyDescent="0.2">
      <c r="A51" s="119">
        <v>45</v>
      </c>
      <c r="B51" s="99" t="s">
        <v>226</v>
      </c>
      <c r="C51" s="174">
        <v>154363</v>
      </c>
      <c r="D51" s="174">
        <v>19221</v>
      </c>
      <c r="E51" s="174">
        <v>154272</v>
      </c>
      <c r="F51" s="174">
        <v>18896</v>
      </c>
      <c r="G51" s="174">
        <v>75227</v>
      </c>
      <c r="H51" s="174">
        <v>38825</v>
      </c>
    </row>
    <row r="52" spans="1:8" ht="15" customHeight="1" x14ac:dyDescent="0.2">
      <c r="A52" s="119">
        <v>46</v>
      </c>
      <c r="B52" s="99" t="s">
        <v>227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</row>
    <row r="53" spans="1:8" ht="15" customHeight="1" x14ac:dyDescent="0.2">
      <c r="A53" s="119">
        <v>47</v>
      </c>
      <c r="B53" s="99" t="s">
        <v>77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</row>
    <row r="54" spans="1:8" ht="15" customHeight="1" x14ac:dyDescent="0.2">
      <c r="A54" s="119">
        <v>48</v>
      </c>
      <c r="B54" s="99" t="s">
        <v>228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</row>
    <row r="55" spans="1:8" ht="15" customHeight="1" x14ac:dyDescent="0.2">
      <c r="A55" s="119">
        <v>49</v>
      </c>
      <c r="B55" s="99" t="s">
        <v>76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</row>
    <row r="56" spans="1:8" s="286" customFormat="1" ht="15" customHeight="1" x14ac:dyDescent="0.2">
      <c r="A56" s="106" t="s">
        <v>348</v>
      </c>
      <c r="B56" s="106" t="s">
        <v>289</v>
      </c>
      <c r="C56" s="176">
        <f>SUM(C34:C55)</f>
        <v>820532</v>
      </c>
      <c r="D56" s="176">
        <f t="shared" ref="D56:H56" si="1">SUM(D34:D55)</f>
        <v>352136.44999999995</v>
      </c>
      <c r="E56" s="176">
        <f t="shared" si="1"/>
        <v>405140</v>
      </c>
      <c r="F56" s="176">
        <f t="shared" si="1"/>
        <v>49862.070000000007</v>
      </c>
      <c r="G56" s="176">
        <f t="shared" si="1"/>
        <v>486416</v>
      </c>
      <c r="H56" s="176">
        <f t="shared" si="1"/>
        <v>182634.57</v>
      </c>
    </row>
    <row r="57" spans="1:8" ht="15" customHeight="1" x14ac:dyDescent="0.2">
      <c r="A57" s="119">
        <v>50</v>
      </c>
      <c r="B57" s="99" t="s">
        <v>46</v>
      </c>
      <c r="C57" s="174">
        <v>146409</v>
      </c>
      <c r="D57" s="174">
        <v>97455</v>
      </c>
      <c r="E57" s="174">
        <v>146409</v>
      </c>
      <c r="F57" s="174">
        <v>97455</v>
      </c>
      <c r="G57" s="174">
        <v>11987</v>
      </c>
      <c r="H57" s="174">
        <v>16818</v>
      </c>
    </row>
    <row r="58" spans="1:8" ht="15" customHeight="1" x14ac:dyDescent="0.2">
      <c r="A58" s="119">
        <v>51</v>
      </c>
      <c r="B58" s="99" t="s">
        <v>229</v>
      </c>
      <c r="C58" s="174">
        <v>34482</v>
      </c>
      <c r="D58" s="174">
        <v>15400</v>
      </c>
      <c r="E58" s="174">
        <v>6016</v>
      </c>
      <c r="F58" s="174">
        <v>3445</v>
      </c>
      <c r="G58" s="174">
        <v>7051</v>
      </c>
      <c r="H58" s="174">
        <v>8859</v>
      </c>
    </row>
    <row r="59" spans="1:8" ht="15" customHeight="1" x14ac:dyDescent="0.2">
      <c r="A59" s="119">
        <v>52</v>
      </c>
      <c r="B59" s="99" t="s">
        <v>52</v>
      </c>
      <c r="C59" s="174">
        <v>49417</v>
      </c>
      <c r="D59" s="174">
        <v>84641.600000000006</v>
      </c>
      <c r="E59" s="174">
        <v>48915</v>
      </c>
      <c r="F59" s="174">
        <v>83964.47</v>
      </c>
      <c r="G59" s="174">
        <v>910</v>
      </c>
      <c r="H59" s="174">
        <v>908.75</v>
      </c>
    </row>
    <row r="60" spans="1:8" s="286" customFormat="1" ht="15" customHeight="1" x14ac:dyDescent="0.2">
      <c r="A60" s="288" t="s">
        <v>348</v>
      </c>
      <c r="B60" s="176" t="s">
        <v>295</v>
      </c>
      <c r="C60" s="176">
        <f>SUM(C57:C59)</f>
        <v>230308</v>
      </c>
      <c r="D60" s="176">
        <f t="shared" ref="D60:H60" si="2">SUM(D57:D59)</f>
        <v>197496.6</v>
      </c>
      <c r="E60" s="176">
        <f t="shared" si="2"/>
        <v>201340</v>
      </c>
      <c r="F60" s="176">
        <f t="shared" si="2"/>
        <v>184864.47</v>
      </c>
      <c r="G60" s="176">
        <f t="shared" si="2"/>
        <v>19948</v>
      </c>
      <c r="H60" s="176">
        <f t="shared" si="2"/>
        <v>26585.75</v>
      </c>
    </row>
    <row r="61" spans="1:8" ht="15" customHeight="1" x14ac:dyDescent="0.2">
      <c r="A61" s="287">
        <v>53</v>
      </c>
      <c r="B61" s="174" t="s">
        <v>290</v>
      </c>
      <c r="C61" s="174">
        <v>115938</v>
      </c>
      <c r="D61" s="174">
        <v>105987</v>
      </c>
      <c r="E61" s="174">
        <v>0</v>
      </c>
      <c r="F61" s="174">
        <v>0</v>
      </c>
      <c r="G61" s="174">
        <v>0</v>
      </c>
      <c r="H61" s="174">
        <v>0</v>
      </c>
    </row>
    <row r="62" spans="1:8" s="286" customFormat="1" ht="15" customHeight="1" x14ac:dyDescent="0.2">
      <c r="A62" s="288" t="s">
        <v>348</v>
      </c>
      <c r="B62" s="176" t="s">
        <v>291</v>
      </c>
      <c r="C62" s="176">
        <f>C61</f>
        <v>115938</v>
      </c>
      <c r="D62" s="176">
        <f t="shared" ref="D62:H62" si="3">D61</f>
        <v>105987</v>
      </c>
      <c r="E62" s="176">
        <f t="shared" si="3"/>
        <v>0</v>
      </c>
      <c r="F62" s="176">
        <f t="shared" si="3"/>
        <v>0</v>
      </c>
      <c r="G62" s="176">
        <f t="shared" si="3"/>
        <v>0</v>
      </c>
      <c r="H62" s="176">
        <f t="shared" si="3"/>
        <v>0</v>
      </c>
    </row>
    <row r="63" spans="1:8" s="286" customFormat="1" ht="15" customHeight="1" x14ac:dyDescent="0.2">
      <c r="A63" s="288" t="s">
        <v>348</v>
      </c>
      <c r="B63" s="176" t="s">
        <v>292</v>
      </c>
      <c r="C63" s="176">
        <f>C62+C60+C56+C33</f>
        <v>1930044</v>
      </c>
      <c r="D63" s="176">
        <f t="shared" ref="D63:H63" si="4">D62+D60+D56+D33</f>
        <v>1916423.88</v>
      </c>
      <c r="E63" s="176">
        <f t="shared" si="4"/>
        <v>957250</v>
      </c>
      <c r="F63" s="176">
        <f t="shared" si="4"/>
        <v>468288.2</v>
      </c>
      <c r="G63" s="176">
        <f t="shared" si="4"/>
        <v>644074</v>
      </c>
      <c r="H63" s="176">
        <f t="shared" si="4"/>
        <v>448499.55000000005</v>
      </c>
    </row>
    <row r="64" spans="1:8" x14ac:dyDescent="0.2">
      <c r="B64" s="421" t="s">
        <v>1236</v>
      </c>
    </row>
    <row r="67" spans="3:8" x14ac:dyDescent="0.2">
      <c r="C67" s="5">
        <v>1729469</v>
      </c>
      <c r="D67" s="5">
        <v>1880352.4600000002</v>
      </c>
      <c r="E67" s="5">
        <v>809104</v>
      </c>
      <c r="F67" s="5">
        <v>654473.14</v>
      </c>
      <c r="G67" s="5">
        <v>491652</v>
      </c>
      <c r="H67" s="5">
        <v>306726.28999999998</v>
      </c>
    </row>
  </sheetData>
  <mergeCells count="7">
    <mergeCell ref="A1:H1"/>
    <mergeCell ref="B3:D3"/>
    <mergeCell ref="A4:A5"/>
    <mergeCell ref="B4:B5"/>
    <mergeCell ref="C4:D4"/>
    <mergeCell ref="G4:H4"/>
    <mergeCell ref="E4:F4"/>
  </mergeCells>
  <conditionalFormatting sqref="B6">
    <cfRule type="duplicateValues" dxfId="8" priority="1"/>
  </conditionalFormatting>
  <conditionalFormatting sqref="B22">
    <cfRule type="duplicateValues" dxfId="7" priority="2"/>
  </conditionalFormatting>
  <conditionalFormatting sqref="B33:B34 B26:B30">
    <cfRule type="duplicateValues" dxfId="6" priority="3"/>
  </conditionalFormatting>
  <conditionalFormatting sqref="B52">
    <cfRule type="duplicateValues" dxfId="5" priority="4"/>
  </conditionalFormatting>
  <conditionalFormatting sqref="B56">
    <cfRule type="duplicateValues" dxfId="4" priority="5"/>
  </conditionalFormatting>
  <conditionalFormatting sqref="B58">
    <cfRule type="duplicateValues" dxfId="3" priority="6"/>
  </conditionalFormatting>
  <pageMargins left="0.7" right="0.7" top="0.75" bottom="0.75" header="0.3" footer="0.3"/>
  <pageSetup paperSize="9" scale="7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view="pageBreakPreview" zoomScale="60" zoomScaleNormal="100" workbookViewId="0">
      <pane xSplit="2" ySplit="11" topLeftCell="C57" activePane="bottomRight" state="frozen"/>
      <selection pane="topRight" activeCell="C1" sqref="C1"/>
      <selection pane="bottomLeft" activeCell="A12" sqref="A12"/>
      <selection pane="bottomRight" activeCell="B75" sqref="B75"/>
    </sheetView>
  </sheetViews>
  <sheetFormatPr defaultRowHeight="12.75" x14ac:dyDescent="0.2"/>
  <cols>
    <col min="1" max="1" width="9.140625" style="363"/>
    <col min="2" max="2" width="16.85546875" style="363" customWidth="1"/>
    <col min="3" max="3" width="29.5703125" style="363" customWidth="1"/>
    <col min="4" max="4" width="12.28515625" style="363" customWidth="1"/>
    <col min="5" max="5" width="17.140625" style="363" customWidth="1"/>
    <col min="6" max="6" width="15.5703125" style="363" customWidth="1"/>
    <col min="7" max="16384" width="9.140625" style="363"/>
  </cols>
  <sheetData>
    <row r="1" spans="1:6" ht="31.5" customHeight="1" x14ac:dyDescent="0.2">
      <c r="A1" s="581" t="s">
        <v>464</v>
      </c>
      <c r="B1" s="581"/>
      <c r="C1" s="581"/>
      <c r="D1" s="581"/>
      <c r="E1" s="581"/>
      <c r="F1" s="581"/>
    </row>
    <row r="2" spans="1:6" ht="2.25" customHeight="1" x14ac:dyDescent="0.2">
      <c r="A2" s="364"/>
      <c r="B2" s="365"/>
      <c r="C2" s="365"/>
      <c r="D2" s="365"/>
      <c r="E2" s="365"/>
      <c r="F2" s="366"/>
    </row>
    <row r="3" spans="1:6" ht="14.25" x14ac:dyDescent="0.2">
      <c r="A3" s="582" t="s">
        <v>465</v>
      </c>
      <c r="B3" s="583"/>
      <c r="C3" s="583"/>
      <c r="D3" s="583"/>
      <c r="E3" s="583"/>
      <c r="F3" s="584"/>
    </row>
    <row r="4" spans="1:6" x14ac:dyDescent="0.2">
      <c r="A4" s="364"/>
      <c r="B4" s="365"/>
      <c r="C4" s="365"/>
      <c r="D4" s="365"/>
      <c r="E4" s="585" t="s">
        <v>466</v>
      </c>
      <c r="F4" s="586"/>
    </row>
    <row r="5" spans="1:6" x14ac:dyDescent="0.2">
      <c r="A5" s="367" t="s">
        <v>467</v>
      </c>
      <c r="B5" s="368"/>
      <c r="C5" s="369"/>
      <c r="D5" s="365"/>
      <c r="E5" s="365"/>
      <c r="F5" s="366"/>
    </row>
    <row r="6" spans="1:6" x14ac:dyDescent="0.2">
      <c r="A6" s="364"/>
      <c r="B6" s="365"/>
      <c r="C6" s="365"/>
      <c r="D6" s="365"/>
      <c r="E6" s="365"/>
      <c r="F6" s="366"/>
    </row>
    <row r="7" spans="1:6" x14ac:dyDescent="0.2">
      <c r="A7" s="367" t="s">
        <v>468</v>
      </c>
      <c r="B7" s="368"/>
      <c r="C7" s="369"/>
      <c r="D7" s="367" t="s">
        <v>578</v>
      </c>
      <c r="E7" s="368"/>
      <c r="F7" s="369"/>
    </row>
    <row r="8" spans="1:6" x14ac:dyDescent="0.2">
      <c r="A8" s="370"/>
      <c r="B8" s="371"/>
      <c r="C8" s="371"/>
      <c r="D8" s="371"/>
      <c r="E8" s="371"/>
      <c r="F8" s="372"/>
    </row>
    <row r="9" spans="1:6" ht="32.25" customHeight="1" x14ac:dyDescent="0.2">
      <c r="A9" s="587" t="s">
        <v>104</v>
      </c>
      <c r="B9" s="587" t="s">
        <v>469</v>
      </c>
      <c r="C9" s="588" t="s">
        <v>470</v>
      </c>
      <c r="D9" s="588" t="s">
        <v>471</v>
      </c>
      <c r="E9" s="589" t="s">
        <v>472</v>
      </c>
      <c r="F9" s="590"/>
    </row>
    <row r="10" spans="1:6" ht="35.1" customHeight="1" x14ac:dyDescent="0.2">
      <c r="A10" s="587"/>
      <c r="B10" s="587"/>
      <c r="C10" s="588"/>
      <c r="D10" s="588"/>
      <c r="E10" s="591" t="s">
        <v>473</v>
      </c>
      <c r="F10" s="591" t="s">
        <v>474</v>
      </c>
    </row>
    <row r="11" spans="1:6" ht="35.1" customHeight="1" x14ac:dyDescent="0.2">
      <c r="A11" s="587"/>
      <c r="B11" s="587"/>
      <c r="C11" s="588"/>
      <c r="D11" s="588"/>
      <c r="E11" s="592"/>
      <c r="F11" s="592"/>
    </row>
    <row r="12" spans="1:6" x14ac:dyDescent="0.2">
      <c r="A12" s="373">
        <v>1</v>
      </c>
      <c r="B12" s="374" t="s">
        <v>475</v>
      </c>
      <c r="C12" s="374" t="s">
        <v>476</v>
      </c>
      <c r="D12" s="375" t="s">
        <v>477</v>
      </c>
      <c r="E12" s="373">
        <v>0</v>
      </c>
      <c r="F12" s="373">
        <v>0</v>
      </c>
    </row>
    <row r="13" spans="1:6" x14ac:dyDescent="0.2">
      <c r="A13" s="373"/>
      <c r="B13" s="374"/>
      <c r="C13" s="374" t="s">
        <v>478</v>
      </c>
      <c r="D13" s="375" t="s">
        <v>479</v>
      </c>
      <c r="E13" s="373">
        <v>0</v>
      </c>
      <c r="F13" s="373">
        <v>0</v>
      </c>
    </row>
    <row r="14" spans="1:6" x14ac:dyDescent="0.2">
      <c r="A14" s="373"/>
      <c r="B14" s="374"/>
      <c r="C14" s="374" t="s">
        <v>480</v>
      </c>
      <c r="D14" s="375" t="s">
        <v>481</v>
      </c>
      <c r="E14" s="373">
        <v>0</v>
      </c>
      <c r="F14" s="373">
        <v>0</v>
      </c>
    </row>
    <row r="15" spans="1:6" ht="25.5" x14ac:dyDescent="0.2">
      <c r="A15" s="373"/>
      <c r="B15" s="374"/>
      <c r="C15" s="374" t="s">
        <v>482</v>
      </c>
      <c r="D15" s="375" t="s">
        <v>483</v>
      </c>
      <c r="E15" s="373">
        <v>0</v>
      </c>
      <c r="F15" s="373">
        <v>0</v>
      </c>
    </row>
    <row r="16" spans="1:6" x14ac:dyDescent="0.2">
      <c r="A16" s="373"/>
      <c r="B16" s="374"/>
      <c r="C16" s="374" t="s">
        <v>484</v>
      </c>
      <c r="D16" s="375" t="s">
        <v>485</v>
      </c>
      <c r="E16" s="373">
        <v>0</v>
      </c>
      <c r="F16" s="373">
        <v>0</v>
      </c>
    </row>
    <row r="17" spans="1:6" x14ac:dyDescent="0.2">
      <c r="A17" s="373"/>
      <c r="B17" s="374"/>
      <c r="C17" s="374" t="s">
        <v>486</v>
      </c>
      <c r="D17" s="375" t="s">
        <v>487</v>
      </c>
      <c r="E17" s="373">
        <v>1</v>
      </c>
      <c r="F17" s="373">
        <v>1</v>
      </c>
    </row>
    <row r="18" spans="1:6" x14ac:dyDescent="0.2">
      <c r="A18" s="373"/>
      <c r="B18" s="374"/>
      <c r="C18" s="374"/>
      <c r="D18" s="375"/>
      <c r="E18" s="373"/>
      <c r="F18" s="373"/>
    </row>
    <row r="19" spans="1:6" x14ac:dyDescent="0.2">
      <c r="A19" s="373">
        <v>2</v>
      </c>
      <c r="B19" s="374" t="s">
        <v>280</v>
      </c>
      <c r="C19" s="376" t="s">
        <v>488</v>
      </c>
      <c r="D19" s="375" t="s">
        <v>489</v>
      </c>
      <c r="E19" s="373">
        <v>0</v>
      </c>
      <c r="F19" s="373">
        <v>0</v>
      </c>
    </row>
    <row r="20" spans="1:6" x14ac:dyDescent="0.2">
      <c r="A20" s="373"/>
      <c r="B20" s="374"/>
      <c r="C20" s="374" t="s">
        <v>490</v>
      </c>
      <c r="D20" s="375" t="s">
        <v>491</v>
      </c>
      <c r="E20" s="373">
        <v>0</v>
      </c>
      <c r="F20" s="373">
        <v>0</v>
      </c>
    </row>
    <row r="21" spans="1:6" x14ac:dyDescent="0.2">
      <c r="A21" s="373"/>
      <c r="B21" s="374"/>
      <c r="C21" s="374"/>
      <c r="D21" s="375"/>
      <c r="E21" s="373"/>
      <c r="F21" s="373"/>
    </row>
    <row r="22" spans="1:6" x14ac:dyDescent="0.2">
      <c r="A22" s="373">
        <v>3</v>
      </c>
      <c r="B22" s="374" t="s">
        <v>281</v>
      </c>
      <c r="C22" s="374" t="s">
        <v>492</v>
      </c>
      <c r="D22" s="375" t="s">
        <v>493</v>
      </c>
      <c r="E22" s="373">
        <v>0</v>
      </c>
      <c r="F22" s="373">
        <v>0</v>
      </c>
    </row>
    <row r="23" spans="1:6" x14ac:dyDescent="0.2">
      <c r="A23" s="373"/>
      <c r="B23" s="374"/>
      <c r="C23" s="374" t="s">
        <v>494</v>
      </c>
      <c r="D23" s="375" t="s">
        <v>495</v>
      </c>
      <c r="E23" s="373">
        <v>0</v>
      </c>
      <c r="F23" s="373">
        <v>0</v>
      </c>
    </row>
    <row r="24" spans="1:6" x14ac:dyDescent="0.2">
      <c r="A24" s="373"/>
      <c r="B24" s="374"/>
      <c r="C24" s="374" t="s">
        <v>496</v>
      </c>
      <c r="D24" s="375" t="s">
        <v>497</v>
      </c>
      <c r="E24" s="373">
        <v>0</v>
      </c>
      <c r="F24" s="373">
        <v>0</v>
      </c>
    </row>
    <row r="25" spans="1:6" x14ac:dyDescent="0.2">
      <c r="A25" s="373"/>
      <c r="B25" s="374"/>
      <c r="C25" s="374" t="s">
        <v>498</v>
      </c>
      <c r="D25" s="375" t="s">
        <v>499</v>
      </c>
      <c r="E25" s="373">
        <v>0</v>
      </c>
      <c r="F25" s="373">
        <v>0</v>
      </c>
    </row>
    <row r="26" spans="1:6" x14ac:dyDescent="0.2">
      <c r="A26" s="373"/>
      <c r="B26" s="374"/>
      <c r="C26" s="374" t="s">
        <v>500</v>
      </c>
      <c r="D26" s="375" t="s">
        <v>501</v>
      </c>
      <c r="E26" s="373">
        <v>0</v>
      </c>
      <c r="F26" s="373">
        <v>0</v>
      </c>
    </row>
    <row r="27" spans="1:6" x14ac:dyDescent="0.2">
      <c r="A27" s="373"/>
      <c r="B27" s="374"/>
      <c r="C27" s="374" t="s">
        <v>502</v>
      </c>
      <c r="D27" s="375" t="s">
        <v>503</v>
      </c>
      <c r="E27" s="373">
        <v>0</v>
      </c>
      <c r="F27" s="373">
        <v>0</v>
      </c>
    </row>
    <row r="28" spans="1:6" x14ac:dyDescent="0.2">
      <c r="A28" s="373"/>
      <c r="B28" s="374"/>
      <c r="C28" s="374" t="s">
        <v>504</v>
      </c>
      <c r="D28" s="375" t="s">
        <v>505</v>
      </c>
      <c r="E28" s="373">
        <v>0</v>
      </c>
      <c r="F28" s="373">
        <v>0</v>
      </c>
    </row>
    <row r="29" spans="1:6" x14ac:dyDescent="0.2">
      <c r="A29" s="373"/>
      <c r="B29" s="374"/>
      <c r="C29" s="374" t="s">
        <v>506</v>
      </c>
      <c r="D29" s="375" t="s">
        <v>507</v>
      </c>
      <c r="E29" s="373">
        <v>0</v>
      </c>
      <c r="F29" s="373">
        <v>0</v>
      </c>
    </row>
    <row r="30" spans="1:6" x14ac:dyDescent="0.2">
      <c r="A30" s="373"/>
      <c r="B30" s="374"/>
      <c r="C30" s="374" t="s">
        <v>508</v>
      </c>
      <c r="D30" s="375" t="s">
        <v>509</v>
      </c>
      <c r="E30" s="373">
        <v>0</v>
      </c>
      <c r="F30" s="373">
        <v>0</v>
      </c>
    </row>
    <row r="31" spans="1:6" x14ac:dyDescent="0.2">
      <c r="A31" s="373"/>
      <c r="B31" s="374"/>
      <c r="C31" s="374" t="s">
        <v>510</v>
      </c>
      <c r="D31" s="375" t="s">
        <v>511</v>
      </c>
      <c r="E31" s="373">
        <v>0</v>
      </c>
      <c r="F31" s="373">
        <v>0</v>
      </c>
    </row>
    <row r="32" spans="1:6" x14ac:dyDescent="0.2">
      <c r="A32" s="373"/>
      <c r="B32" s="374"/>
      <c r="C32" s="374"/>
      <c r="D32" s="375"/>
      <c r="E32" s="374"/>
      <c r="F32" s="374"/>
    </row>
    <row r="33" spans="1:6" x14ac:dyDescent="0.2">
      <c r="A33" s="373">
        <v>4</v>
      </c>
      <c r="B33" s="374" t="s">
        <v>512</v>
      </c>
      <c r="C33" s="374" t="s">
        <v>513</v>
      </c>
      <c r="D33" s="375" t="s">
        <v>514</v>
      </c>
      <c r="E33" s="373">
        <v>0</v>
      </c>
      <c r="F33" s="373">
        <v>0</v>
      </c>
    </row>
    <row r="34" spans="1:6" x14ac:dyDescent="0.2">
      <c r="A34" s="373"/>
      <c r="B34" s="374"/>
      <c r="C34" s="374"/>
      <c r="D34" s="375"/>
      <c r="E34" s="374"/>
      <c r="F34" s="374"/>
    </row>
    <row r="35" spans="1:6" x14ac:dyDescent="0.2">
      <c r="A35" s="373">
        <v>5</v>
      </c>
      <c r="B35" s="374" t="s">
        <v>515</v>
      </c>
      <c r="C35" s="374" t="s">
        <v>516</v>
      </c>
      <c r="D35" s="375" t="s">
        <v>517</v>
      </c>
      <c r="E35" s="373">
        <v>0</v>
      </c>
      <c r="F35" s="373">
        <v>0</v>
      </c>
    </row>
    <row r="36" spans="1:6" x14ac:dyDescent="0.2">
      <c r="A36" s="373"/>
      <c r="B36" s="374"/>
      <c r="C36" s="374" t="s">
        <v>518</v>
      </c>
      <c r="D36" s="375" t="s">
        <v>519</v>
      </c>
      <c r="E36" s="373">
        <v>0</v>
      </c>
      <c r="F36" s="373">
        <v>0</v>
      </c>
    </row>
    <row r="37" spans="1:6" x14ac:dyDescent="0.2">
      <c r="A37" s="373"/>
      <c r="B37" s="374"/>
      <c r="C37" s="374"/>
      <c r="D37" s="375"/>
      <c r="E37" s="373"/>
      <c r="F37" s="373"/>
    </row>
    <row r="38" spans="1:6" x14ac:dyDescent="0.2">
      <c r="A38" s="373">
        <v>6</v>
      </c>
      <c r="B38" s="374" t="s">
        <v>282</v>
      </c>
      <c r="C38" s="374" t="s">
        <v>520</v>
      </c>
      <c r="D38" s="375" t="s">
        <v>521</v>
      </c>
      <c r="E38" s="373">
        <v>0</v>
      </c>
      <c r="F38" s="373">
        <v>0</v>
      </c>
    </row>
    <row r="39" spans="1:6" x14ac:dyDescent="0.2">
      <c r="A39" s="373"/>
      <c r="B39" s="374"/>
      <c r="C39" s="374"/>
      <c r="D39" s="375"/>
      <c r="E39" s="373"/>
      <c r="F39" s="373"/>
    </row>
    <row r="40" spans="1:6" x14ac:dyDescent="0.2">
      <c r="A40" s="373">
        <v>7</v>
      </c>
      <c r="B40" s="374" t="s">
        <v>522</v>
      </c>
      <c r="C40" s="374" t="s">
        <v>523</v>
      </c>
      <c r="D40" s="375" t="s">
        <v>524</v>
      </c>
      <c r="E40" s="373">
        <v>0</v>
      </c>
      <c r="F40" s="373">
        <v>0</v>
      </c>
    </row>
    <row r="41" spans="1:6" x14ac:dyDescent="0.2">
      <c r="A41" s="373"/>
      <c r="B41" s="374"/>
      <c r="C41" s="374" t="s">
        <v>525</v>
      </c>
      <c r="D41" s="375" t="s">
        <v>526</v>
      </c>
      <c r="E41" s="373">
        <v>0</v>
      </c>
      <c r="F41" s="373">
        <v>0</v>
      </c>
    </row>
    <row r="42" spans="1:6" x14ac:dyDescent="0.2">
      <c r="A42" s="373"/>
      <c r="B42" s="374"/>
      <c r="C42" s="374" t="s">
        <v>527</v>
      </c>
      <c r="D42" s="375" t="s">
        <v>528</v>
      </c>
      <c r="E42" s="373">
        <v>0</v>
      </c>
      <c r="F42" s="373">
        <v>0</v>
      </c>
    </row>
    <row r="43" spans="1:6" x14ac:dyDescent="0.2">
      <c r="A43" s="373"/>
      <c r="B43" s="374"/>
      <c r="C43" s="374" t="s">
        <v>529</v>
      </c>
      <c r="D43" s="375" t="s">
        <v>530</v>
      </c>
      <c r="E43" s="373">
        <v>0</v>
      </c>
      <c r="F43" s="373">
        <v>0</v>
      </c>
    </row>
    <row r="44" spans="1:6" x14ac:dyDescent="0.2">
      <c r="A44" s="373"/>
      <c r="B44" s="374"/>
      <c r="C44" s="374"/>
      <c r="D44" s="375"/>
      <c r="E44" s="374"/>
      <c r="F44" s="374"/>
    </row>
    <row r="45" spans="1:6" x14ac:dyDescent="0.2">
      <c r="A45" s="373">
        <v>8</v>
      </c>
      <c r="B45" s="374" t="s">
        <v>531</v>
      </c>
      <c r="C45" s="374" t="s">
        <v>532</v>
      </c>
      <c r="D45" s="375" t="s">
        <v>533</v>
      </c>
      <c r="E45" s="373">
        <v>0</v>
      </c>
      <c r="F45" s="373">
        <v>0</v>
      </c>
    </row>
    <row r="46" spans="1:6" x14ac:dyDescent="0.2">
      <c r="A46" s="373"/>
      <c r="B46" s="374"/>
      <c r="C46" s="374"/>
      <c r="D46" s="375"/>
      <c r="E46" s="374"/>
      <c r="F46" s="374"/>
    </row>
    <row r="47" spans="1:6" x14ac:dyDescent="0.2">
      <c r="A47" s="373">
        <v>9</v>
      </c>
      <c r="B47" s="374" t="s">
        <v>534</v>
      </c>
      <c r="C47" s="377" t="s">
        <v>535</v>
      </c>
      <c r="D47" s="378" t="s">
        <v>536</v>
      </c>
      <c r="E47" s="373">
        <v>0</v>
      </c>
      <c r="F47" s="373">
        <v>0</v>
      </c>
    </row>
    <row r="48" spans="1:6" x14ac:dyDescent="0.2">
      <c r="A48" s="373"/>
      <c r="B48" s="374"/>
      <c r="C48" s="374" t="s">
        <v>537</v>
      </c>
      <c r="D48" s="375" t="s">
        <v>538</v>
      </c>
      <c r="E48" s="373">
        <v>0</v>
      </c>
      <c r="F48" s="373">
        <v>0</v>
      </c>
    </row>
    <row r="49" spans="1:6" ht="25.5" x14ac:dyDescent="0.2">
      <c r="A49" s="373"/>
      <c r="B49" s="374"/>
      <c r="C49" s="374" t="s">
        <v>539</v>
      </c>
      <c r="D49" s="375" t="s">
        <v>540</v>
      </c>
      <c r="E49" s="379" t="s">
        <v>541</v>
      </c>
      <c r="F49" s="379" t="s">
        <v>541</v>
      </c>
    </row>
    <row r="50" spans="1:6" x14ac:dyDescent="0.2">
      <c r="A50" s="373"/>
      <c r="B50" s="374"/>
      <c r="C50" s="374"/>
      <c r="D50" s="375"/>
      <c r="E50" s="374"/>
      <c r="F50" s="374"/>
    </row>
    <row r="51" spans="1:6" x14ac:dyDescent="0.2">
      <c r="A51" s="373">
        <v>10</v>
      </c>
      <c r="B51" s="374" t="s">
        <v>542</v>
      </c>
      <c r="C51" s="374" t="s">
        <v>543</v>
      </c>
      <c r="D51" s="375" t="s">
        <v>544</v>
      </c>
      <c r="E51" s="373">
        <v>0</v>
      </c>
      <c r="F51" s="373">
        <v>0</v>
      </c>
    </row>
    <row r="52" spans="1:6" x14ac:dyDescent="0.2">
      <c r="A52" s="373"/>
      <c r="B52" s="374"/>
      <c r="C52" s="374" t="s">
        <v>545</v>
      </c>
      <c r="D52" s="375" t="s">
        <v>546</v>
      </c>
      <c r="E52" s="373">
        <v>0</v>
      </c>
      <c r="F52" s="373">
        <v>0</v>
      </c>
    </row>
    <row r="53" spans="1:6" x14ac:dyDescent="0.2">
      <c r="A53" s="373"/>
      <c r="B53" s="374"/>
      <c r="C53" s="374"/>
      <c r="D53" s="375"/>
      <c r="E53" s="373"/>
      <c r="F53" s="373"/>
    </row>
    <row r="54" spans="1:6" x14ac:dyDescent="0.2">
      <c r="A54" s="373">
        <v>11</v>
      </c>
      <c r="B54" s="374" t="s">
        <v>283</v>
      </c>
      <c r="C54" s="374" t="s">
        <v>547</v>
      </c>
      <c r="D54" s="375" t="s">
        <v>548</v>
      </c>
      <c r="E54" s="373">
        <v>0</v>
      </c>
      <c r="F54" s="373">
        <v>0</v>
      </c>
    </row>
    <row r="55" spans="1:6" x14ac:dyDescent="0.2">
      <c r="A55" s="373"/>
      <c r="B55" s="374"/>
      <c r="C55" s="374" t="s">
        <v>549</v>
      </c>
      <c r="D55" s="375" t="s">
        <v>550</v>
      </c>
      <c r="E55" s="373">
        <v>0</v>
      </c>
      <c r="F55" s="373">
        <v>0</v>
      </c>
    </row>
    <row r="56" spans="1:6" x14ac:dyDescent="0.2">
      <c r="A56" s="373"/>
      <c r="B56" s="374"/>
      <c r="C56" s="374" t="s">
        <v>551</v>
      </c>
      <c r="D56" s="375" t="s">
        <v>552</v>
      </c>
      <c r="E56" s="373">
        <v>0</v>
      </c>
      <c r="F56" s="373">
        <v>0</v>
      </c>
    </row>
    <row r="57" spans="1:6" x14ac:dyDescent="0.2">
      <c r="A57" s="373"/>
      <c r="B57" s="374"/>
      <c r="C57" s="374" t="s">
        <v>553</v>
      </c>
      <c r="D57" s="375" t="s">
        <v>554</v>
      </c>
      <c r="E57" s="373">
        <v>0</v>
      </c>
      <c r="F57" s="373">
        <v>0</v>
      </c>
    </row>
    <row r="58" spans="1:6" x14ac:dyDescent="0.2">
      <c r="A58" s="373"/>
      <c r="B58" s="374"/>
      <c r="C58" s="374"/>
      <c r="D58" s="375"/>
      <c r="E58" s="374"/>
      <c r="F58" s="374"/>
    </row>
    <row r="59" spans="1:6" x14ac:dyDescent="0.2">
      <c r="A59" s="373">
        <v>12</v>
      </c>
      <c r="B59" s="374" t="s">
        <v>336</v>
      </c>
      <c r="C59" s="374" t="s">
        <v>555</v>
      </c>
      <c r="D59" s="375" t="s">
        <v>556</v>
      </c>
      <c r="E59" s="373">
        <v>0</v>
      </c>
      <c r="F59" s="373">
        <v>0</v>
      </c>
    </row>
    <row r="60" spans="1:6" x14ac:dyDescent="0.2">
      <c r="A60" s="373"/>
      <c r="B60" s="374"/>
      <c r="C60" s="374" t="s">
        <v>557</v>
      </c>
      <c r="D60" s="375" t="s">
        <v>558</v>
      </c>
      <c r="E60" s="373">
        <v>0</v>
      </c>
      <c r="F60" s="373">
        <v>0</v>
      </c>
    </row>
    <row r="61" spans="1:6" x14ac:dyDescent="0.2">
      <c r="A61" s="373"/>
      <c r="B61" s="374"/>
      <c r="C61" s="374" t="s">
        <v>559</v>
      </c>
      <c r="D61" s="375" t="s">
        <v>560</v>
      </c>
      <c r="E61" s="373">
        <v>0</v>
      </c>
      <c r="F61" s="373">
        <v>0</v>
      </c>
    </row>
    <row r="62" spans="1:6" x14ac:dyDescent="0.2">
      <c r="A62" s="373"/>
      <c r="B62" s="374"/>
      <c r="C62" s="374" t="s">
        <v>561</v>
      </c>
      <c r="D62" s="375" t="s">
        <v>562</v>
      </c>
      <c r="E62" s="373">
        <v>0</v>
      </c>
      <c r="F62" s="373">
        <v>0</v>
      </c>
    </row>
    <row r="63" spans="1:6" x14ac:dyDescent="0.2">
      <c r="A63" s="373"/>
      <c r="B63" s="374"/>
      <c r="C63" s="374"/>
      <c r="D63" s="375"/>
      <c r="E63" s="373"/>
      <c r="F63" s="373"/>
    </row>
    <row r="64" spans="1:6" x14ac:dyDescent="0.2">
      <c r="A64" s="373">
        <v>13</v>
      </c>
      <c r="B64" s="374" t="s">
        <v>284</v>
      </c>
      <c r="C64" s="374" t="s">
        <v>563</v>
      </c>
      <c r="D64" s="375" t="s">
        <v>564</v>
      </c>
      <c r="E64" s="373">
        <v>0</v>
      </c>
      <c r="F64" s="373">
        <v>0</v>
      </c>
    </row>
    <row r="65" spans="1:6" x14ac:dyDescent="0.2">
      <c r="A65" s="373"/>
      <c r="B65" s="374"/>
      <c r="C65" s="374"/>
      <c r="D65" s="375"/>
      <c r="E65" s="373"/>
      <c r="F65" s="373"/>
    </row>
    <row r="66" spans="1:6" x14ac:dyDescent="0.2">
      <c r="A66" s="373">
        <v>14</v>
      </c>
      <c r="B66" s="374" t="s">
        <v>285</v>
      </c>
      <c r="C66" s="374" t="s">
        <v>565</v>
      </c>
      <c r="D66" s="375" t="s">
        <v>566</v>
      </c>
      <c r="E66" s="373">
        <v>0</v>
      </c>
      <c r="F66" s="373">
        <v>0</v>
      </c>
    </row>
    <row r="67" spans="1:6" ht="25.5" x14ac:dyDescent="0.2">
      <c r="A67" s="373"/>
      <c r="B67" s="374"/>
      <c r="C67" s="374" t="s">
        <v>567</v>
      </c>
      <c r="D67" s="375" t="s">
        <v>568</v>
      </c>
      <c r="E67" s="373">
        <v>0</v>
      </c>
      <c r="F67" s="373">
        <v>0</v>
      </c>
    </row>
    <row r="68" spans="1:6" ht="25.5" x14ac:dyDescent="0.2">
      <c r="A68" s="373"/>
      <c r="B68" s="374"/>
      <c r="C68" s="374" t="s">
        <v>569</v>
      </c>
      <c r="D68" s="375" t="s">
        <v>570</v>
      </c>
      <c r="E68" s="373">
        <v>0</v>
      </c>
      <c r="F68" s="373">
        <v>0</v>
      </c>
    </row>
    <row r="69" spans="1:6" x14ac:dyDescent="0.2">
      <c r="A69" s="373"/>
      <c r="B69" s="374"/>
      <c r="C69" s="374" t="s">
        <v>571</v>
      </c>
      <c r="D69" s="375" t="s">
        <v>572</v>
      </c>
      <c r="E69" s="373">
        <v>0</v>
      </c>
      <c r="F69" s="373">
        <v>0</v>
      </c>
    </row>
    <row r="70" spans="1:6" ht="25.5" x14ac:dyDescent="0.2">
      <c r="A70" s="373"/>
      <c r="B70" s="374"/>
      <c r="C70" s="374" t="s">
        <v>573</v>
      </c>
      <c r="D70" s="375" t="s">
        <v>574</v>
      </c>
      <c r="E70" s="373">
        <v>0</v>
      </c>
      <c r="F70" s="373">
        <v>0</v>
      </c>
    </row>
    <row r="71" spans="1:6" x14ac:dyDescent="0.2">
      <c r="A71" s="373"/>
      <c r="B71" s="374"/>
      <c r="C71" s="374" t="s">
        <v>575</v>
      </c>
      <c r="D71" s="375" t="s">
        <v>576</v>
      </c>
      <c r="E71" s="373">
        <v>0</v>
      </c>
      <c r="F71" s="373">
        <v>0</v>
      </c>
    </row>
    <row r="72" spans="1:6" x14ac:dyDescent="0.2">
      <c r="A72" s="373"/>
      <c r="B72" s="379" t="s">
        <v>0</v>
      </c>
      <c r="C72" s="379"/>
      <c r="D72" s="379">
        <v>47</v>
      </c>
      <c r="E72" s="379">
        <v>2</v>
      </c>
      <c r="F72" s="379">
        <v>2</v>
      </c>
    </row>
    <row r="73" spans="1:6" x14ac:dyDescent="0.2">
      <c r="A73" s="380" t="s">
        <v>577</v>
      </c>
    </row>
    <row r="74" spans="1:6" x14ac:dyDescent="0.2">
      <c r="B74" s="363" t="s">
        <v>1237</v>
      </c>
    </row>
  </sheetData>
  <mergeCells count="10">
    <mergeCell ref="A1:F1"/>
    <mergeCell ref="A3:F3"/>
    <mergeCell ref="E4:F4"/>
    <mergeCell ref="A9:A11"/>
    <mergeCell ref="B9:B11"/>
    <mergeCell ref="C9:C11"/>
    <mergeCell ref="D9:D11"/>
    <mergeCell ref="E9:F9"/>
    <mergeCell ref="E10:E11"/>
    <mergeCell ref="F10:F11"/>
  </mergeCells>
  <pageMargins left="1.7" right="0.7" top="0.5" bottom="0.5" header="0.3" footer="0.3"/>
  <pageSetup paperSize="9" scale="68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 tint="-0.499984740745262"/>
  </sheetPr>
  <dimension ref="A1:S66"/>
  <sheetViews>
    <sheetView view="pageBreakPreview" topLeftCell="A31" zoomScale="60" zoomScaleNormal="100" workbookViewId="0">
      <selection activeCell="W26" sqref="W26"/>
    </sheetView>
  </sheetViews>
  <sheetFormatPr defaultRowHeight="18.75" x14ac:dyDescent="0.2"/>
  <cols>
    <col min="1" max="1" width="4.85546875" style="50" customWidth="1"/>
    <col min="2" max="2" width="25.5703125" style="144" customWidth="1"/>
    <col min="3" max="3" width="12.85546875" style="51" customWidth="1"/>
    <col min="4" max="4" width="13.140625" style="51" customWidth="1"/>
    <col min="5" max="5" width="12.85546875" style="51" customWidth="1"/>
    <col min="6" max="6" width="12.28515625" style="211" customWidth="1"/>
    <col min="7" max="7" width="12.7109375" style="144" customWidth="1"/>
    <col min="8" max="8" width="11.85546875" style="144" customWidth="1"/>
    <col min="9" max="10" width="11.28515625" style="219" hidden="1" customWidth="1"/>
    <col min="11" max="11" width="13.7109375" style="55" hidden="1" customWidth="1"/>
    <col min="12" max="13" width="10.28515625" style="55" hidden="1" customWidth="1"/>
    <col min="14" max="14" width="9.28515625" style="218" hidden="1" customWidth="1"/>
    <col min="15" max="18" width="0" style="55" hidden="1" customWidth="1"/>
    <col min="19" max="19" width="9.140625" style="55"/>
    <col min="20" max="16384" width="9.140625" style="144"/>
  </cols>
  <sheetData>
    <row r="1" spans="1:19" ht="12.75" customHeight="1" x14ac:dyDescent="0.2">
      <c r="A1" s="468" t="s">
        <v>351</v>
      </c>
      <c r="B1" s="468"/>
      <c r="C1" s="468"/>
      <c r="D1" s="468"/>
      <c r="E1" s="468"/>
      <c r="F1" s="468"/>
      <c r="G1" s="468"/>
      <c r="H1" s="468"/>
      <c r="K1" s="218"/>
      <c r="O1" s="144"/>
      <c r="P1" s="144"/>
      <c r="Q1" s="144"/>
      <c r="R1" s="144"/>
      <c r="S1" s="144"/>
    </row>
    <row r="2" spans="1:19" x14ac:dyDescent="0.2">
      <c r="A2" s="470" t="s">
        <v>240</v>
      </c>
      <c r="B2" s="470"/>
      <c r="C2" s="470"/>
      <c r="D2" s="470"/>
      <c r="E2" s="470"/>
      <c r="F2" s="470"/>
      <c r="G2" s="470"/>
      <c r="H2" s="470"/>
      <c r="O2" s="144"/>
      <c r="P2" s="144"/>
      <c r="Q2" s="144"/>
      <c r="R2" s="144"/>
      <c r="S2" s="144"/>
    </row>
    <row r="3" spans="1:19" ht="14.25" customHeight="1" x14ac:dyDescent="0.2">
      <c r="A3" s="41"/>
      <c r="B3" s="84" t="s">
        <v>12</v>
      </c>
      <c r="C3" s="49"/>
      <c r="E3" s="49"/>
      <c r="G3" s="469" t="s">
        <v>204</v>
      </c>
      <c r="H3" s="469"/>
      <c r="O3" s="144"/>
      <c r="P3" s="144"/>
      <c r="Q3" s="144"/>
      <c r="R3" s="144"/>
      <c r="S3" s="144"/>
    </row>
    <row r="4" spans="1:19" x14ac:dyDescent="0.2">
      <c r="A4" s="471" t="s">
        <v>231</v>
      </c>
      <c r="B4" s="471" t="s">
        <v>3</v>
      </c>
      <c r="C4" s="472" t="s">
        <v>14</v>
      </c>
      <c r="D4" s="472"/>
      <c r="E4" s="472" t="s">
        <v>9</v>
      </c>
      <c r="F4" s="472"/>
      <c r="G4" s="471" t="s">
        <v>10</v>
      </c>
      <c r="H4" s="471"/>
      <c r="K4" s="467" t="s">
        <v>347</v>
      </c>
      <c r="L4" s="467"/>
      <c r="M4" s="467"/>
      <c r="N4" s="467"/>
      <c r="O4" s="144"/>
      <c r="P4" s="144"/>
      <c r="Q4" s="144"/>
      <c r="R4" s="144"/>
      <c r="S4" s="144"/>
    </row>
    <row r="5" spans="1:19" ht="39.950000000000003" customHeight="1" x14ac:dyDescent="0.2">
      <c r="A5" s="471"/>
      <c r="B5" s="471"/>
      <c r="C5" s="215" t="s">
        <v>352</v>
      </c>
      <c r="D5" s="215" t="s">
        <v>353</v>
      </c>
      <c r="E5" s="312" t="s">
        <v>352</v>
      </c>
      <c r="F5" s="312" t="s">
        <v>353</v>
      </c>
      <c r="G5" s="312" t="s">
        <v>352</v>
      </c>
      <c r="H5" s="312" t="s">
        <v>353</v>
      </c>
      <c r="I5" s="203" t="s">
        <v>296</v>
      </c>
      <c r="J5" s="202" t="s">
        <v>297</v>
      </c>
      <c r="K5" s="237" t="s">
        <v>299</v>
      </c>
      <c r="L5" s="237" t="s">
        <v>268</v>
      </c>
      <c r="M5" s="238" t="s">
        <v>300</v>
      </c>
      <c r="N5" s="216" t="s">
        <v>268</v>
      </c>
      <c r="O5" s="310"/>
      <c r="P5" s="144"/>
      <c r="Q5" s="144"/>
      <c r="R5" s="144"/>
      <c r="S5" s="144"/>
    </row>
    <row r="6" spans="1:19" ht="15" customHeight="1" x14ac:dyDescent="0.2">
      <c r="A6" s="63">
        <v>1</v>
      </c>
      <c r="B6" s="64" t="s">
        <v>55</v>
      </c>
      <c r="C6" s="66">
        <v>1043964</v>
      </c>
      <c r="D6" s="216">
        <v>1103503</v>
      </c>
      <c r="E6" s="66">
        <v>719997</v>
      </c>
      <c r="F6" s="217">
        <v>721151</v>
      </c>
      <c r="G6" s="67">
        <f>E6*100/C6</f>
        <v>68.967608078439483</v>
      </c>
      <c r="H6" s="67">
        <f>F6*100/D6</f>
        <v>65.351068370453007</v>
      </c>
      <c r="I6" s="220">
        <f>(D6-C6)*100/C6</f>
        <v>5.7031660095558854</v>
      </c>
      <c r="J6" s="220">
        <f>(F6-E6)*100/E6</f>
        <v>0.16027844560463447</v>
      </c>
      <c r="K6" s="218">
        <f>'CD Ratio_2'!C6+'CD Ratio_2'!D6+'CD Ratio_2'!E6</f>
        <v>1103503</v>
      </c>
      <c r="L6" s="218">
        <f t="shared" ref="L6:L37" si="0">D6-K6</f>
        <v>0</v>
      </c>
      <c r="M6" s="218">
        <f>'CD Ratio_2'!F6+'CD Ratio_2'!G6+'CD Ratio_2'!H6</f>
        <v>721151</v>
      </c>
      <c r="N6" s="218">
        <f t="shared" ref="N6:N63" si="1">F6-M6</f>
        <v>0</v>
      </c>
      <c r="O6" s="144"/>
      <c r="P6" s="144"/>
      <c r="Q6" s="144"/>
      <c r="R6" s="144"/>
      <c r="S6" s="144"/>
    </row>
    <row r="7" spans="1:19" ht="15" customHeight="1" x14ac:dyDescent="0.2">
      <c r="A7" s="63">
        <v>2</v>
      </c>
      <c r="B7" s="64" t="s">
        <v>56</v>
      </c>
      <c r="C7" s="66">
        <v>126364.01</v>
      </c>
      <c r="D7" s="216">
        <v>128952.73</v>
      </c>
      <c r="E7" s="65">
        <v>50354.93</v>
      </c>
      <c r="F7" s="217">
        <v>63802.18</v>
      </c>
      <c r="G7" s="67">
        <f t="shared" ref="G7:G63" si="2">E7*100/C7</f>
        <v>39.849107352639415</v>
      </c>
      <c r="H7" s="67">
        <f t="shared" ref="H7:H63" si="3">F7*100/D7</f>
        <v>49.477184391520829</v>
      </c>
      <c r="I7" s="220">
        <f t="shared" ref="I7:I63" si="4">(D7-C7)*100/C7</f>
        <v>2.0486212806953508</v>
      </c>
      <c r="J7" s="220">
        <f t="shared" ref="J7:J63" si="5">(F7-E7)*100/E7</f>
        <v>26.704932367098912</v>
      </c>
      <c r="K7" s="218">
        <f>'CD Ratio_2'!C7+'CD Ratio_2'!D7+'CD Ratio_2'!E7</f>
        <v>128952.73</v>
      </c>
      <c r="L7" s="218">
        <f t="shared" si="0"/>
        <v>0</v>
      </c>
      <c r="M7" s="218">
        <f>'CD Ratio_2'!F7+'CD Ratio_2'!G7+'CD Ratio_2'!H7</f>
        <v>63802.179999999993</v>
      </c>
      <c r="N7" s="218">
        <f t="shared" si="1"/>
        <v>0</v>
      </c>
      <c r="O7" s="144"/>
      <c r="P7" s="144"/>
      <c r="Q7" s="144"/>
      <c r="R7" s="144"/>
      <c r="S7" s="144"/>
    </row>
    <row r="8" spans="1:19" ht="15" customHeight="1" x14ac:dyDescent="0.2">
      <c r="A8" s="63">
        <v>3</v>
      </c>
      <c r="B8" s="64" t="s">
        <v>57</v>
      </c>
      <c r="C8" s="68">
        <v>839970</v>
      </c>
      <c r="D8" s="216">
        <v>956643</v>
      </c>
      <c r="E8" s="68">
        <v>705600</v>
      </c>
      <c r="F8" s="217">
        <v>690825</v>
      </c>
      <c r="G8" s="67">
        <f t="shared" si="2"/>
        <v>84.00300010714669</v>
      </c>
      <c r="H8" s="67">
        <f t="shared" si="3"/>
        <v>72.213458939228119</v>
      </c>
      <c r="I8" s="220">
        <f t="shared" si="4"/>
        <v>13.89013893353334</v>
      </c>
      <c r="J8" s="220">
        <f t="shared" si="5"/>
        <v>-2.0939625850340136</v>
      </c>
      <c r="K8" s="218">
        <f>'CD Ratio_2'!C8+'CD Ratio_2'!D8+'CD Ratio_2'!E8</f>
        <v>956643</v>
      </c>
      <c r="L8" s="218">
        <f t="shared" si="0"/>
        <v>0</v>
      </c>
      <c r="M8" s="218">
        <f>'CD Ratio_2'!F8+'CD Ratio_2'!G8+'CD Ratio_2'!H8</f>
        <v>690825</v>
      </c>
      <c r="N8" s="218">
        <f t="shared" si="1"/>
        <v>0</v>
      </c>
      <c r="O8" s="144"/>
      <c r="P8" s="144"/>
      <c r="Q8" s="144"/>
      <c r="R8" s="144"/>
      <c r="S8" s="144"/>
    </row>
    <row r="9" spans="1:19" ht="15" customHeight="1" x14ac:dyDescent="0.2">
      <c r="A9" s="63">
        <v>4</v>
      </c>
      <c r="B9" s="64" t="s">
        <v>58</v>
      </c>
      <c r="C9" s="65">
        <v>2096089</v>
      </c>
      <c r="D9" s="216">
        <v>2350889</v>
      </c>
      <c r="E9" s="65">
        <v>1651247</v>
      </c>
      <c r="F9" s="217">
        <v>1743443</v>
      </c>
      <c r="G9" s="67">
        <f t="shared" si="2"/>
        <v>78.777523282646868</v>
      </c>
      <c r="H9" s="67">
        <f t="shared" si="3"/>
        <v>74.161008877918093</v>
      </c>
      <c r="I9" s="220">
        <f t="shared" si="4"/>
        <v>12.15597238476038</v>
      </c>
      <c r="J9" s="220">
        <f t="shared" si="5"/>
        <v>5.5834166542013399</v>
      </c>
      <c r="K9" s="218">
        <f>'CD Ratio_2'!C9+'CD Ratio_2'!D9+'CD Ratio_2'!E9</f>
        <v>2350889</v>
      </c>
      <c r="L9" s="218">
        <f t="shared" si="0"/>
        <v>0</v>
      </c>
      <c r="M9" s="218">
        <f>'CD Ratio_2'!F9+'CD Ratio_2'!G9+'CD Ratio_2'!H9</f>
        <v>1743443</v>
      </c>
      <c r="N9" s="218">
        <f t="shared" si="1"/>
        <v>0</v>
      </c>
      <c r="O9" s="144"/>
      <c r="P9" s="144"/>
      <c r="Q9" s="144"/>
      <c r="R9" s="144"/>
      <c r="S9" s="144"/>
    </row>
    <row r="10" spans="1:19" ht="15" customHeight="1" x14ac:dyDescent="0.2">
      <c r="A10" s="63">
        <v>5</v>
      </c>
      <c r="B10" s="64" t="s">
        <v>59</v>
      </c>
      <c r="C10" s="65">
        <v>531147</v>
      </c>
      <c r="D10" s="216">
        <v>589714</v>
      </c>
      <c r="E10" s="65">
        <v>315826</v>
      </c>
      <c r="F10" s="217">
        <v>297536</v>
      </c>
      <c r="G10" s="67">
        <f t="shared" si="2"/>
        <v>59.461128463495037</v>
      </c>
      <c r="H10" s="67">
        <f t="shared" si="3"/>
        <v>50.454288010798457</v>
      </c>
      <c r="I10" s="220">
        <f t="shared" si="4"/>
        <v>11.026514317128779</v>
      </c>
      <c r="J10" s="220">
        <f t="shared" si="5"/>
        <v>-5.7911634887564674</v>
      </c>
      <c r="K10" s="218">
        <f>'CD Ratio_2'!C10+'CD Ratio_2'!D10+'CD Ratio_2'!E10</f>
        <v>589714</v>
      </c>
      <c r="L10" s="218">
        <f t="shared" si="0"/>
        <v>0</v>
      </c>
      <c r="M10" s="218">
        <f>'CD Ratio_2'!F10+'CD Ratio_2'!G10+'CD Ratio_2'!H10</f>
        <v>297536</v>
      </c>
      <c r="N10" s="218">
        <f t="shared" si="1"/>
        <v>0</v>
      </c>
      <c r="O10" s="144"/>
      <c r="P10" s="144"/>
      <c r="Q10" s="144"/>
      <c r="R10" s="144"/>
      <c r="S10" s="144"/>
    </row>
    <row r="11" spans="1:19" ht="15" customHeight="1" x14ac:dyDescent="0.2">
      <c r="A11" s="63">
        <v>6</v>
      </c>
      <c r="B11" s="64" t="s">
        <v>68</v>
      </c>
      <c r="C11" s="70">
        <v>2219</v>
      </c>
      <c r="D11" s="216">
        <v>4228</v>
      </c>
      <c r="E11" s="70">
        <v>573</v>
      </c>
      <c r="F11" s="217">
        <v>654</v>
      </c>
      <c r="G11" s="67">
        <f t="shared" si="2"/>
        <v>25.822442541685444</v>
      </c>
      <c r="H11" s="67">
        <f t="shared" si="3"/>
        <v>15.468306527909176</v>
      </c>
      <c r="I11" s="220">
        <f t="shared" si="4"/>
        <v>90.536277602523654</v>
      </c>
      <c r="J11" s="220">
        <f t="shared" si="5"/>
        <v>14.136125654450261</v>
      </c>
      <c r="K11" s="218">
        <f>'CD Ratio_2'!C11+'CD Ratio_2'!D11+'CD Ratio_2'!E11</f>
        <v>4228</v>
      </c>
      <c r="L11" s="218">
        <f t="shared" si="0"/>
        <v>0</v>
      </c>
      <c r="M11" s="218">
        <f>'CD Ratio_2'!F11+'CD Ratio_2'!G11+'CD Ratio_2'!H11</f>
        <v>654</v>
      </c>
      <c r="N11" s="218">
        <f t="shared" si="1"/>
        <v>0</v>
      </c>
      <c r="O11" s="144"/>
      <c r="P11" s="144"/>
      <c r="Q11" s="144"/>
      <c r="R11" s="144"/>
      <c r="S11" s="144"/>
    </row>
    <row r="12" spans="1:19" ht="15" customHeight="1" x14ac:dyDescent="0.2">
      <c r="A12" s="63">
        <v>7</v>
      </c>
      <c r="B12" s="64" t="s">
        <v>60</v>
      </c>
      <c r="C12" s="69">
        <v>656556</v>
      </c>
      <c r="D12" s="216">
        <v>813219</v>
      </c>
      <c r="E12" s="69">
        <v>416087</v>
      </c>
      <c r="F12" s="217">
        <v>419154</v>
      </c>
      <c r="G12" s="67">
        <f t="shared" si="2"/>
        <v>63.374182857212482</v>
      </c>
      <c r="H12" s="67">
        <f t="shared" si="3"/>
        <v>51.542573402736529</v>
      </c>
      <c r="I12" s="220">
        <f t="shared" si="4"/>
        <v>23.861330945113593</v>
      </c>
      <c r="J12" s="220">
        <f t="shared" si="5"/>
        <v>0.73710546111750663</v>
      </c>
      <c r="K12" s="218">
        <f>'CD Ratio_2'!C12+'CD Ratio_2'!D12+'CD Ratio_2'!E12</f>
        <v>813219</v>
      </c>
      <c r="L12" s="218">
        <f t="shared" si="0"/>
        <v>0</v>
      </c>
      <c r="M12" s="218">
        <f>'CD Ratio_2'!F12+'CD Ratio_2'!G12+'CD Ratio_2'!H12</f>
        <v>419154</v>
      </c>
      <c r="N12" s="218">
        <f t="shared" si="1"/>
        <v>0</v>
      </c>
      <c r="O12" s="144"/>
      <c r="P12" s="144"/>
      <c r="Q12" s="144"/>
      <c r="R12" s="144"/>
      <c r="S12" s="144"/>
    </row>
    <row r="13" spans="1:19" ht="15" customHeight="1" x14ac:dyDescent="0.2">
      <c r="A13" s="63">
        <v>8</v>
      </c>
      <c r="B13" s="64" t="s">
        <v>61</v>
      </c>
      <c r="C13" s="71">
        <v>2396642</v>
      </c>
      <c r="D13" s="314">
        <v>2503950</v>
      </c>
      <c r="E13" s="71">
        <v>1234413.5900000001</v>
      </c>
      <c r="F13" s="314">
        <v>1187286</v>
      </c>
      <c r="G13" s="67">
        <f t="shared" si="2"/>
        <v>51.505965012713631</v>
      </c>
      <c r="H13" s="67">
        <f t="shared" si="3"/>
        <v>47.416521895405261</v>
      </c>
      <c r="I13" s="220">
        <f t="shared" si="4"/>
        <v>4.4774313393489722</v>
      </c>
      <c r="J13" s="220">
        <f t="shared" si="5"/>
        <v>-3.8178119863375839</v>
      </c>
      <c r="K13" s="218">
        <f>'CD Ratio_2'!C13+'CD Ratio_2'!D13+'CD Ratio_2'!E13</f>
        <v>2503950</v>
      </c>
      <c r="L13" s="218">
        <f t="shared" si="0"/>
        <v>0</v>
      </c>
      <c r="M13" s="218">
        <f>'CD Ratio_2'!F13+'CD Ratio_2'!G13+'CD Ratio_2'!H13</f>
        <v>1187286</v>
      </c>
      <c r="N13" s="218">
        <f t="shared" si="1"/>
        <v>0</v>
      </c>
      <c r="O13" s="144"/>
      <c r="P13" s="144"/>
      <c r="Q13" s="144"/>
      <c r="R13" s="144"/>
      <c r="S13" s="144"/>
    </row>
    <row r="14" spans="1:19" ht="15" customHeight="1" x14ac:dyDescent="0.2">
      <c r="A14" s="63">
        <v>9</v>
      </c>
      <c r="B14" s="64" t="s">
        <v>48</v>
      </c>
      <c r="C14" s="65">
        <v>168884</v>
      </c>
      <c r="D14" s="216">
        <v>184479.35999999999</v>
      </c>
      <c r="E14" s="65">
        <v>318609</v>
      </c>
      <c r="F14" s="217">
        <v>165917</v>
      </c>
      <c r="G14" s="67">
        <f t="shared" si="2"/>
        <v>188.65552687051468</v>
      </c>
      <c r="H14" s="67">
        <f t="shared" si="3"/>
        <v>89.93797463304297</v>
      </c>
      <c r="I14" s="220">
        <f t="shared" si="4"/>
        <v>9.2343620473224135</v>
      </c>
      <c r="J14" s="220">
        <f t="shared" si="5"/>
        <v>-47.924572124453483</v>
      </c>
      <c r="K14" s="218">
        <f>'CD Ratio_2'!C14+'CD Ratio_2'!D14+'CD Ratio_2'!E14</f>
        <v>184479.35999999999</v>
      </c>
      <c r="L14" s="218">
        <f t="shared" si="0"/>
        <v>0</v>
      </c>
      <c r="M14" s="218">
        <f>'CD Ratio_2'!F14+'CD Ratio_2'!G14+'CD Ratio_2'!H14</f>
        <v>165917</v>
      </c>
      <c r="N14" s="218">
        <f t="shared" si="1"/>
        <v>0</v>
      </c>
      <c r="O14" s="144"/>
      <c r="P14" s="144"/>
      <c r="Q14" s="144"/>
      <c r="R14" s="144"/>
      <c r="S14" s="144"/>
    </row>
    <row r="15" spans="1:19" ht="15" customHeight="1" x14ac:dyDescent="0.2">
      <c r="A15" s="63">
        <v>10</v>
      </c>
      <c r="B15" s="64" t="s">
        <v>49</v>
      </c>
      <c r="C15" s="65">
        <v>259168.29</v>
      </c>
      <c r="D15" s="216">
        <v>281558</v>
      </c>
      <c r="E15" s="65">
        <v>193733.15</v>
      </c>
      <c r="F15" s="217">
        <v>151797</v>
      </c>
      <c r="G15" s="67">
        <f t="shared" si="2"/>
        <v>74.751872615280206</v>
      </c>
      <c r="H15" s="67">
        <f t="shared" si="3"/>
        <v>53.913225694173136</v>
      </c>
      <c r="I15" s="220">
        <f t="shared" si="4"/>
        <v>8.6390622865166069</v>
      </c>
      <c r="J15" s="220">
        <f t="shared" si="5"/>
        <v>-21.646347050053127</v>
      </c>
      <c r="K15" s="218">
        <f>'CD Ratio_2'!C15+'CD Ratio_2'!D15+'CD Ratio_2'!E15</f>
        <v>281558</v>
      </c>
      <c r="L15" s="218">
        <f t="shared" si="0"/>
        <v>0</v>
      </c>
      <c r="M15" s="218">
        <f>'CD Ratio_2'!F15+'CD Ratio_2'!G15+'CD Ratio_2'!H15</f>
        <v>151797</v>
      </c>
      <c r="N15" s="218">
        <f t="shared" si="1"/>
        <v>0</v>
      </c>
      <c r="O15" s="144"/>
      <c r="P15" s="144"/>
      <c r="Q15" s="144"/>
      <c r="R15" s="144"/>
      <c r="S15" s="144"/>
    </row>
    <row r="16" spans="1:19" ht="15" customHeight="1" x14ac:dyDescent="0.2">
      <c r="A16" s="63">
        <v>11</v>
      </c>
      <c r="B16" s="64" t="s">
        <v>81</v>
      </c>
      <c r="C16" s="65">
        <v>626960</v>
      </c>
      <c r="D16" s="216">
        <v>764691</v>
      </c>
      <c r="E16" s="65">
        <v>373637</v>
      </c>
      <c r="F16" s="217">
        <v>362362</v>
      </c>
      <c r="G16" s="67">
        <f t="shared" si="2"/>
        <v>59.595029985964018</v>
      </c>
      <c r="H16" s="67">
        <f t="shared" si="3"/>
        <v>47.386722218517022</v>
      </c>
      <c r="I16" s="220">
        <f t="shared" si="4"/>
        <v>21.968068138318234</v>
      </c>
      <c r="J16" s="220">
        <f t="shared" si="5"/>
        <v>-3.0176347631524716</v>
      </c>
      <c r="K16" s="218">
        <f>'CD Ratio_2'!C16+'CD Ratio_2'!D16+'CD Ratio_2'!E16</f>
        <v>764691</v>
      </c>
      <c r="L16" s="218">
        <f t="shared" si="0"/>
        <v>0</v>
      </c>
      <c r="M16" s="218">
        <f>'CD Ratio_2'!F16+'CD Ratio_2'!G16+'CD Ratio_2'!H16</f>
        <v>362362</v>
      </c>
      <c r="N16" s="218">
        <f t="shared" si="1"/>
        <v>0</v>
      </c>
      <c r="O16" s="144"/>
      <c r="P16" s="144"/>
      <c r="Q16" s="144"/>
      <c r="R16" s="144"/>
      <c r="S16" s="144"/>
    </row>
    <row r="17" spans="1:19" ht="15" customHeight="1" x14ac:dyDescent="0.2">
      <c r="A17" s="63">
        <v>12</v>
      </c>
      <c r="B17" s="64" t="s">
        <v>62</v>
      </c>
      <c r="C17" s="72">
        <v>81410.28</v>
      </c>
      <c r="D17" s="216">
        <v>93195.69</v>
      </c>
      <c r="E17" s="72">
        <v>33209.68</v>
      </c>
      <c r="F17" s="217">
        <v>35094.410000000003</v>
      </c>
      <c r="G17" s="67">
        <f t="shared" si="2"/>
        <v>40.792980935577177</v>
      </c>
      <c r="H17" s="67">
        <f t="shared" si="3"/>
        <v>37.656687771719916</v>
      </c>
      <c r="I17" s="220">
        <f t="shared" si="4"/>
        <v>14.476562419389793</v>
      </c>
      <c r="J17" s="220">
        <f t="shared" si="5"/>
        <v>5.6752428809913349</v>
      </c>
      <c r="K17" s="218">
        <f>'CD Ratio_2'!C17+'CD Ratio_2'!D17+'CD Ratio_2'!E17</f>
        <v>93195.69</v>
      </c>
      <c r="L17" s="218">
        <f t="shared" si="0"/>
        <v>0</v>
      </c>
      <c r="M17" s="218">
        <f>'CD Ratio_2'!F17+'CD Ratio_2'!G17+'CD Ratio_2'!H17</f>
        <v>35094.410000000003</v>
      </c>
      <c r="N17" s="218">
        <f t="shared" si="1"/>
        <v>0</v>
      </c>
      <c r="O17" s="144"/>
      <c r="P17" s="144"/>
      <c r="Q17" s="144"/>
      <c r="R17" s="144"/>
      <c r="S17" s="144"/>
    </row>
    <row r="18" spans="1:19" ht="15" customHeight="1" x14ac:dyDescent="0.2">
      <c r="A18" s="63">
        <v>13</v>
      </c>
      <c r="B18" s="64" t="s">
        <v>63</v>
      </c>
      <c r="C18" s="72">
        <v>179485</v>
      </c>
      <c r="D18" s="216">
        <v>164518</v>
      </c>
      <c r="E18" s="72">
        <v>97465</v>
      </c>
      <c r="F18" s="217">
        <v>96588</v>
      </c>
      <c r="G18" s="67">
        <f t="shared" si="2"/>
        <v>54.302587959996657</v>
      </c>
      <c r="H18" s="67">
        <f t="shared" si="3"/>
        <v>58.7096852624029</v>
      </c>
      <c r="I18" s="220">
        <f t="shared" si="4"/>
        <v>-8.3388584004234332</v>
      </c>
      <c r="J18" s="220">
        <f t="shared" si="5"/>
        <v>-0.89981018827271331</v>
      </c>
      <c r="K18" s="218">
        <f>'CD Ratio_2'!C18+'CD Ratio_2'!D18+'CD Ratio_2'!E18</f>
        <v>164518</v>
      </c>
      <c r="L18" s="218">
        <f t="shared" si="0"/>
        <v>0</v>
      </c>
      <c r="M18" s="218">
        <f>'CD Ratio_2'!F18+'CD Ratio_2'!G18+'CD Ratio_2'!H18</f>
        <v>96588</v>
      </c>
      <c r="N18" s="218">
        <f t="shared" si="1"/>
        <v>0</v>
      </c>
      <c r="O18" s="144"/>
      <c r="P18" s="144"/>
      <c r="Q18" s="144"/>
      <c r="R18" s="144"/>
      <c r="S18" s="144"/>
    </row>
    <row r="19" spans="1:19" ht="15" customHeight="1" x14ac:dyDescent="0.2">
      <c r="A19" s="63">
        <v>14</v>
      </c>
      <c r="B19" s="64" t="s">
        <v>239</v>
      </c>
      <c r="C19" s="72">
        <v>441596</v>
      </c>
      <c r="D19" s="216">
        <v>466536</v>
      </c>
      <c r="E19" s="72">
        <v>207786</v>
      </c>
      <c r="F19" s="217">
        <v>218999.15</v>
      </c>
      <c r="G19" s="67">
        <f t="shared" si="2"/>
        <v>47.053415338907058</v>
      </c>
      <c r="H19" s="67">
        <f t="shared" si="3"/>
        <v>46.94153291493047</v>
      </c>
      <c r="I19" s="220">
        <f t="shared" si="4"/>
        <v>5.6476960842036616</v>
      </c>
      <c r="J19" s="220">
        <f t="shared" si="5"/>
        <v>5.3964896576285195</v>
      </c>
      <c r="K19" s="218">
        <f>'CD Ratio_2'!C19+'CD Ratio_2'!D19+'CD Ratio_2'!E19</f>
        <v>466536</v>
      </c>
      <c r="L19" s="218">
        <f t="shared" si="0"/>
        <v>0</v>
      </c>
      <c r="M19" s="218">
        <f>'CD Ratio_2'!F19+'CD Ratio_2'!G19+'CD Ratio_2'!H19</f>
        <v>218999.15</v>
      </c>
      <c r="N19" s="218">
        <f t="shared" si="1"/>
        <v>0</v>
      </c>
      <c r="O19" s="144"/>
      <c r="P19" s="144"/>
      <c r="Q19" s="144"/>
      <c r="R19" s="144"/>
      <c r="S19" s="144"/>
    </row>
    <row r="20" spans="1:19" ht="15" customHeight="1" x14ac:dyDescent="0.2">
      <c r="A20" s="63">
        <v>15</v>
      </c>
      <c r="B20" s="64" t="s">
        <v>83</v>
      </c>
      <c r="C20" s="72">
        <v>141487</v>
      </c>
      <c r="D20" s="216">
        <v>146347</v>
      </c>
      <c r="E20" s="72">
        <v>65307</v>
      </c>
      <c r="F20" s="217">
        <v>62375</v>
      </c>
      <c r="G20" s="67">
        <f t="shared" si="2"/>
        <v>46.157597517793157</v>
      </c>
      <c r="H20" s="67">
        <f t="shared" si="3"/>
        <v>42.621304160659257</v>
      </c>
      <c r="I20" s="220">
        <f t="shared" si="4"/>
        <v>3.4349445532098355</v>
      </c>
      <c r="J20" s="220">
        <f t="shared" si="5"/>
        <v>-4.489564671474727</v>
      </c>
      <c r="K20" s="218">
        <f>'CD Ratio_2'!C20+'CD Ratio_2'!D20+'CD Ratio_2'!E20</f>
        <v>146347</v>
      </c>
      <c r="L20" s="218">
        <f t="shared" si="0"/>
        <v>0</v>
      </c>
      <c r="M20" s="218">
        <f>'CD Ratio_2'!F20+'CD Ratio_2'!G20+'CD Ratio_2'!H20</f>
        <v>62375</v>
      </c>
      <c r="N20" s="218">
        <f t="shared" si="1"/>
        <v>0</v>
      </c>
      <c r="O20" s="144"/>
      <c r="P20" s="144"/>
      <c r="Q20" s="144"/>
      <c r="R20" s="144"/>
      <c r="S20" s="144"/>
    </row>
    <row r="21" spans="1:19" ht="15" customHeight="1" x14ac:dyDescent="0.2">
      <c r="A21" s="63">
        <v>16</v>
      </c>
      <c r="B21" s="64" t="s">
        <v>64</v>
      </c>
      <c r="C21" s="72">
        <v>1837510</v>
      </c>
      <c r="D21" s="216">
        <v>2184802</v>
      </c>
      <c r="E21" s="72">
        <v>1333561</v>
      </c>
      <c r="F21" s="217">
        <v>1347838</v>
      </c>
      <c r="G21" s="67">
        <f t="shared" si="2"/>
        <v>72.574353336852582</v>
      </c>
      <c r="H21" s="67">
        <f t="shared" si="3"/>
        <v>61.691540011406069</v>
      </c>
      <c r="I21" s="220">
        <f t="shared" si="4"/>
        <v>18.90014204004332</v>
      </c>
      <c r="J21" s="220">
        <f t="shared" si="5"/>
        <v>1.0705921963824676</v>
      </c>
      <c r="K21" s="218">
        <f>'CD Ratio_2'!C21+'CD Ratio_2'!D21+'CD Ratio_2'!E21</f>
        <v>2184802</v>
      </c>
      <c r="L21" s="218">
        <f t="shared" si="0"/>
        <v>0</v>
      </c>
      <c r="M21" s="218">
        <f>'CD Ratio_2'!F21+'CD Ratio_2'!G21+'CD Ratio_2'!H21</f>
        <v>1347838</v>
      </c>
      <c r="N21" s="218">
        <f t="shared" si="1"/>
        <v>0</v>
      </c>
      <c r="O21" s="144"/>
      <c r="P21" s="144"/>
      <c r="Q21" s="144"/>
      <c r="R21" s="144"/>
      <c r="S21" s="144"/>
    </row>
    <row r="22" spans="1:19" ht="15" customHeight="1" x14ac:dyDescent="0.2">
      <c r="A22" s="63">
        <v>17</v>
      </c>
      <c r="B22" s="64" t="s">
        <v>69</v>
      </c>
      <c r="C22" s="71">
        <v>30552</v>
      </c>
      <c r="D22" s="216">
        <v>30535.54</v>
      </c>
      <c r="E22" s="71">
        <v>34177</v>
      </c>
      <c r="F22" s="217">
        <v>34927.800000000003</v>
      </c>
      <c r="G22" s="67">
        <f t="shared" si="2"/>
        <v>111.86501702016234</v>
      </c>
      <c r="H22" s="67">
        <f t="shared" si="3"/>
        <v>114.3840914553992</v>
      </c>
      <c r="I22" s="220">
        <f t="shared" si="4"/>
        <v>-5.3875360041892924E-2</v>
      </c>
      <c r="J22" s="220">
        <f t="shared" si="5"/>
        <v>2.1967990168827076</v>
      </c>
      <c r="K22" s="218">
        <f>'CD Ratio_2'!C22+'CD Ratio_2'!D22+'CD Ratio_2'!E22</f>
        <v>30535.54</v>
      </c>
      <c r="L22" s="218">
        <f t="shared" si="0"/>
        <v>0</v>
      </c>
      <c r="M22" s="218">
        <f>'CD Ratio_2'!F22+'CD Ratio_2'!G22+'CD Ratio_2'!H22</f>
        <v>34927.799999999996</v>
      </c>
      <c r="N22" s="218">
        <f t="shared" si="1"/>
        <v>0</v>
      </c>
      <c r="O22" s="144"/>
      <c r="P22" s="144"/>
      <c r="Q22" s="144"/>
      <c r="R22" s="144"/>
      <c r="S22" s="144"/>
    </row>
    <row r="23" spans="1:19" ht="15" customHeight="1" x14ac:dyDescent="0.2">
      <c r="A23" s="63">
        <v>18</v>
      </c>
      <c r="B23" s="64" t="s">
        <v>84</v>
      </c>
      <c r="C23" s="71">
        <v>20548</v>
      </c>
      <c r="D23" s="216">
        <v>21442.26</v>
      </c>
      <c r="E23" s="71">
        <v>39596</v>
      </c>
      <c r="F23" s="217">
        <v>27915.18</v>
      </c>
      <c r="G23" s="67">
        <f t="shared" si="2"/>
        <v>192.70001946661475</v>
      </c>
      <c r="H23" s="67">
        <f t="shared" si="3"/>
        <v>130.18767611249933</v>
      </c>
      <c r="I23" s="220">
        <f t="shared" si="4"/>
        <v>4.3520537278567177</v>
      </c>
      <c r="J23" s="220">
        <f t="shared" si="5"/>
        <v>-29.5</v>
      </c>
      <c r="K23" s="218">
        <f>'CD Ratio_2'!C23+'CD Ratio_2'!D23+'CD Ratio_2'!E23</f>
        <v>21442.26</v>
      </c>
      <c r="L23" s="218">
        <f t="shared" si="0"/>
        <v>0</v>
      </c>
      <c r="M23" s="218">
        <f>'CD Ratio_2'!F23+'CD Ratio_2'!G23+'CD Ratio_2'!H23</f>
        <v>27915.18</v>
      </c>
      <c r="N23" s="218">
        <f t="shared" si="1"/>
        <v>0</v>
      </c>
      <c r="O23" s="144"/>
      <c r="P23" s="144"/>
      <c r="Q23" s="144"/>
      <c r="R23" s="144"/>
      <c r="S23" s="144"/>
    </row>
    <row r="24" spans="1:19" ht="15" customHeight="1" x14ac:dyDescent="0.2">
      <c r="A24" s="63">
        <v>19</v>
      </c>
      <c r="B24" s="64" t="s">
        <v>85</v>
      </c>
      <c r="C24" s="71">
        <v>53411</v>
      </c>
      <c r="D24" s="216">
        <v>57096</v>
      </c>
      <c r="E24" s="71">
        <v>106559</v>
      </c>
      <c r="F24" s="217">
        <v>70073</v>
      </c>
      <c r="G24" s="67">
        <f t="shared" si="2"/>
        <v>199.50759206904945</v>
      </c>
      <c r="H24" s="67">
        <f t="shared" si="3"/>
        <v>122.72838727756761</v>
      </c>
      <c r="I24" s="220">
        <f t="shared" si="4"/>
        <v>6.8993278538128848</v>
      </c>
      <c r="J24" s="220">
        <f t="shared" si="5"/>
        <v>-34.240186187933446</v>
      </c>
      <c r="K24" s="218">
        <f>'CD Ratio_2'!C24+'CD Ratio_2'!D24+'CD Ratio_2'!E24</f>
        <v>57096</v>
      </c>
      <c r="L24" s="218">
        <f t="shared" si="0"/>
        <v>0</v>
      </c>
      <c r="M24" s="218">
        <f>'CD Ratio_2'!F24+'CD Ratio_2'!G24+'CD Ratio_2'!H24</f>
        <v>70073</v>
      </c>
      <c r="N24" s="218">
        <f t="shared" si="1"/>
        <v>0</v>
      </c>
      <c r="O24" s="144"/>
      <c r="P24" s="144"/>
      <c r="Q24" s="144"/>
      <c r="R24" s="144"/>
      <c r="S24" s="144"/>
    </row>
    <row r="25" spans="1:19" ht="15" customHeight="1" x14ac:dyDescent="0.2">
      <c r="A25" s="63">
        <v>20</v>
      </c>
      <c r="B25" s="64" t="s">
        <v>86</v>
      </c>
      <c r="C25" s="72">
        <v>24699</v>
      </c>
      <c r="D25" s="216">
        <v>22763</v>
      </c>
      <c r="E25" s="72">
        <v>46163</v>
      </c>
      <c r="F25" s="217">
        <v>52203</v>
      </c>
      <c r="G25" s="67">
        <f t="shared" si="2"/>
        <v>186.90230373699339</v>
      </c>
      <c r="H25" s="67">
        <f t="shared" si="3"/>
        <v>229.33268901287175</v>
      </c>
      <c r="I25" s="220">
        <f t="shared" si="4"/>
        <v>-7.8383740232398074</v>
      </c>
      <c r="J25" s="220">
        <f t="shared" si="5"/>
        <v>13.084071659120941</v>
      </c>
      <c r="K25" s="218">
        <f>'CD Ratio_2'!C25+'CD Ratio_2'!D25+'CD Ratio_2'!E25</f>
        <v>22763</v>
      </c>
      <c r="L25" s="218">
        <f t="shared" si="0"/>
        <v>0</v>
      </c>
      <c r="M25" s="218">
        <f>'CD Ratio_2'!F25+'CD Ratio_2'!G25+'CD Ratio_2'!H25</f>
        <v>52203</v>
      </c>
      <c r="N25" s="218">
        <f t="shared" si="1"/>
        <v>0</v>
      </c>
      <c r="O25" s="144"/>
      <c r="P25" s="144"/>
      <c r="Q25" s="144"/>
      <c r="R25" s="144"/>
      <c r="S25" s="144"/>
    </row>
    <row r="26" spans="1:19" ht="15" customHeight="1" x14ac:dyDescent="0.2">
      <c r="A26" s="63">
        <v>21</v>
      </c>
      <c r="B26" s="64" t="s">
        <v>87</v>
      </c>
      <c r="C26" s="71">
        <v>62837</v>
      </c>
      <c r="D26" s="216">
        <v>61785</v>
      </c>
      <c r="E26" s="71">
        <v>79593</v>
      </c>
      <c r="F26" s="217">
        <v>59363</v>
      </c>
      <c r="G26" s="67">
        <f t="shared" si="2"/>
        <v>126.6658179098302</v>
      </c>
      <c r="H26" s="67">
        <f t="shared" si="3"/>
        <v>96.079954681557012</v>
      </c>
      <c r="I26" s="220">
        <f t="shared" si="4"/>
        <v>-1.6741728599392078</v>
      </c>
      <c r="J26" s="220">
        <f t="shared" si="5"/>
        <v>-25.416808010754714</v>
      </c>
      <c r="K26" s="218">
        <f>'CD Ratio_2'!C26+'CD Ratio_2'!D26+'CD Ratio_2'!E26</f>
        <v>61785</v>
      </c>
      <c r="L26" s="218">
        <f t="shared" si="0"/>
        <v>0</v>
      </c>
      <c r="M26" s="218">
        <f>'CD Ratio_2'!F26+'CD Ratio_2'!G26+'CD Ratio_2'!H26</f>
        <v>59363</v>
      </c>
      <c r="N26" s="218">
        <f t="shared" si="1"/>
        <v>0</v>
      </c>
      <c r="O26" s="144"/>
      <c r="P26" s="144"/>
      <c r="Q26" s="144"/>
      <c r="R26" s="144"/>
      <c r="S26" s="144"/>
    </row>
    <row r="27" spans="1:19" ht="15" customHeight="1" x14ac:dyDescent="0.2">
      <c r="A27" s="63">
        <v>22</v>
      </c>
      <c r="B27" s="64" t="s">
        <v>70</v>
      </c>
      <c r="C27" s="66">
        <v>9407851</v>
      </c>
      <c r="D27" s="216">
        <v>10498354</v>
      </c>
      <c r="E27" s="66">
        <v>5827944</v>
      </c>
      <c r="F27" s="217">
        <v>5637466</v>
      </c>
      <c r="G27" s="67">
        <f t="shared" si="2"/>
        <v>61.947664774877921</v>
      </c>
      <c r="H27" s="67">
        <f t="shared" si="3"/>
        <v>53.698570271111073</v>
      </c>
      <c r="I27" s="220">
        <f t="shared" si="4"/>
        <v>11.591414447358913</v>
      </c>
      <c r="J27" s="220">
        <f t="shared" si="5"/>
        <v>-3.2683567309500572</v>
      </c>
      <c r="K27" s="218">
        <f>'CD Ratio_2'!C27+'CD Ratio_2'!D27+'CD Ratio_2'!E27</f>
        <v>10498354</v>
      </c>
      <c r="L27" s="218">
        <f t="shared" si="0"/>
        <v>0</v>
      </c>
      <c r="M27" s="218">
        <f>'CD Ratio_2'!F27+'CD Ratio_2'!G27+'CD Ratio_2'!H27</f>
        <v>5637466</v>
      </c>
      <c r="N27" s="218">
        <f t="shared" si="1"/>
        <v>0</v>
      </c>
      <c r="O27" s="144"/>
      <c r="P27" s="144"/>
      <c r="Q27" s="144"/>
      <c r="R27" s="144"/>
      <c r="S27" s="144"/>
    </row>
    <row r="28" spans="1:19" ht="15" customHeight="1" x14ac:dyDescent="0.2">
      <c r="A28" s="63">
        <v>23</v>
      </c>
      <c r="B28" s="64" t="s">
        <v>65</v>
      </c>
      <c r="C28" s="72">
        <v>290940.59000000003</v>
      </c>
      <c r="D28" s="216">
        <v>284529</v>
      </c>
      <c r="E28" s="72">
        <v>147699.48000000001</v>
      </c>
      <c r="F28" s="217">
        <v>146762</v>
      </c>
      <c r="G28" s="67">
        <f t="shared" si="2"/>
        <v>50.766199381117637</v>
      </c>
      <c r="H28" s="67">
        <f t="shared" si="3"/>
        <v>51.58068246119025</v>
      </c>
      <c r="I28" s="220">
        <f t="shared" si="4"/>
        <v>-2.2037454450752385</v>
      </c>
      <c r="J28" s="220">
        <f t="shared" si="5"/>
        <v>-0.63472125968216708</v>
      </c>
      <c r="K28" s="218">
        <f>'CD Ratio_2'!C28+'CD Ratio_2'!D28+'CD Ratio_2'!E28</f>
        <v>284529</v>
      </c>
      <c r="L28" s="218">
        <f t="shared" si="0"/>
        <v>0</v>
      </c>
      <c r="M28" s="218">
        <f>'CD Ratio_2'!F28+'CD Ratio_2'!G28+'CD Ratio_2'!H28</f>
        <v>146762</v>
      </c>
      <c r="N28" s="218">
        <f t="shared" si="1"/>
        <v>0</v>
      </c>
      <c r="O28" s="144"/>
      <c r="P28" s="144"/>
      <c r="Q28" s="144"/>
      <c r="R28" s="144"/>
      <c r="S28" s="144"/>
    </row>
    <row r="29" spans="1:19" ht="15" customHeight="1" x14ac:dyDescent="0.2">
      <c r="A29" s="63">
        <v>24</v>
      </c>
      <c r="B29" s="64" t="s">
        <v>213</v>
      </c>
      <c r="C29" s="72">
        <v>649853.07999999996</v>
      </c>
      <c r="D29" s="216">
        <v>713111.25</v>
      </c>
      <c r="E29" s="72">
        <v>442137.96</v>
      </c>
      <c r="F29" s="217">
        <v>426821.53</v>
      </c>
      <c r="G29" s="67">
        <f t="shared" si="2"/>
        <v>68.036602981092287</v>
      </c>
      <c r="H29" s="67">
        <f t="shared" si="3"/>
        <v>59.853428199316724</v>
      </c>
      <c r="I29" s="220">
        <f t="shared" si="4"/>
        <v>9.7342263885246254</v>
      </c>
      <c r="J29" s="220">
        <f t="shared" si="5"/>
        <v>-3.4641743947974954</v>
      </c>
      <c r="K29" s="218">
        <f>'CD Ratio_2'!C29+'CD Ratio_2'!D29+'CD Ratio_2'!E29</f>
        <v>713111.25</v>
      </c>
      <c r="L29" s="218">
        <f t="shared" si="0"/>
        <v>0</v>
      </c>
      <c r="M29" s="218">
        <f>'CD Ratio_2'!F29+'CD Ratio_2'!G29+'CD Ratio_2'!H29</f>
        <v>426821.52999999997</v>
      </c>
      <c r="N29" s="218">
        <f t="shared" si="1"/>
        <v>0</v>
      </c>
      <c r="O29" s="144"/>
      <c r="P29" s="144"/>
      <c r="Q29" s="144"/>
      <c r="R29" s="144"/>
      <c r="S29" s="144"/>
    </row>
    <row r="30" spans="1:19" ht="15" customHeight="1" x14ac:dyDescent="0.2">
      <c r="A30" s="63">
        <v>25</v>
      </c>
      <c r="B30" s="64" t="s">
        <v>66</v>
      </c>
      <c r="C30" s="66">
        <v>2060907.11</v>
      </c>
      <c r="D30" s="216">
        <v>2217451</v>
      </c>
      <c r="E30" s="66">
        <v>842977.7</v>
      </c>
      <c r="F30" s="217">
        <v>918545</v>
      </c>
      <c r="G30" s="67">
        <f t="shared" si="2"/>
        <v>40.903236051235709</v>
      </c>
      <c r="H30" s="67">
        <f t="shared" si="3"/>
        <v>41.423463246763966</v>
      </c>
      <c r="I30" s="220">
        <f t="shared" si="4"/>
        <v>7.5958731589799733</v>
      </c>
      <c r="J30" s="220">
        <f t="shared" si="5"/>
        <v>8.9643296613896251</v>
      </c>
      <c r="K30" s="218">
        <f>'CD Ratio_2'!C30+'CD Ratio_2'!D30+'CD Ratio_2'!E30</f>
        <v>2217451</v>
      </c>
      <c r="L30" s="218">
        <f t="shared" si="0"/>
        <v>0</v>
      </c>
      <c r="M30" s="218">
        <f>'CD Ratio_2'!F30+'CD Ratio_2'!G30+'CD Ratio_2'!H30</f>
        <v>918545</v>
      </c>
      <c r="N30" s="218">
        <f t="shared" si="1"/>
        <v>0</v>
      </c>
      <c r="O30" s="144"/>
      <c r="P30" s="144"/>
      <c r="Q30" s="144"/>
      <c r="R30" s="144"/>
      <c r="S30" s="144"/>
    </row>
    <row r="31" spans="1:19" ht="15" customHeight="1" x14ac:dyDescent="0.2">
      <c r="A31" s="63">
        <v>26</v>
      </c>
      <c r="B31" s="64" t="s">
        <v>67</v>
      </c>
      <c r="C31" s="73">
        <v>26909</v>
      </c>
      <c r="D31" s="216">
        <v>31759</v>
      </c>
      <c r="E31" s="74">
        <v>25944</v>
      </c>
      <c r="F31" s="217">
        <v>26456</v>
      </c>
      <c r="G31" s="67">
        <f t="shared" si="2"/>
        <v>96.413839235943371</v>
      </c>
      <c r="H31" s="67">
        <f t="shared" si="3"/>
        <v>83.302370981454075</v>
      </c>
      <c r="I31" s="220">
        <f t="shared" si="4"/>
        <v>18.023709539559256</v>
      </c>
      <c r="J31" s="220">
        <f t="shared" si="5"/>
        <v>1.9734813444341659</v>
      </c>
      <c r="K31" s="218">
        <f>'CD Ratio_2'!C31+'CD Ratio_2'!D31+'CD Ratio_2'!E31</f>
        <v>31759</v>
      </c>
      <c r="L31" s="218">
        <f t="shared" si="0"/>
        <v>0</v>
      </c>
      <c r="M31" s="218">
        <f>'CD Ratio_2'!F31+'CD Ratio_2'!G31+'CD Ratio_2'!H31</f>
        <v>26456</v>
      </c>
      <c r="N31" s="218">
        <f t="shared" si="1"/>
        <v>0</v>
      </c>
      <c r="O31" s="144"/>
      <c r="P31" s="144"/>
      <c r="Q31" s="144"/>
      <c r="R31" s="144"/>
      <c r="S31" s="144"/>
    </row>
    <row r="32" spans="1:19" ht="15" customHeight="1" x14ac:dyDescent="0.2">
      <c r="A32" s="63">
        <v>27</v>
      </c>
      <c r="B32" s="64" t="s">
        <v>50</v>
      </c>
      <c r="C32" s="72">
        <v>135719</v>
      </c>
      <c r="D32" s="216">
        <v>145839</v>
      </c>
      <c r="E32" s="72">
        <v>77777</v>
      </c>
      <c r="F32" s="217">
        <v>78823</v>
      </c>
      <c r="G32" s="67">
        <f t="shared" si="2"/>
        <v>57.30737774372048</v>
      </c>
      <c r="H32" s="67">
        <f t="shared" si="3"/>
        <v>54.0479569936711</v>
      </c>
      <c r="I32" s="220">
        <f t="shared" si="4"/>
        <v>7.4565830871138159</v>
      </c>
      <c r="J32" s="220">
        <f t="shared" si="5"/>
        <v>1.3448705915630585</v>
      </c>
      <c r="K32" s="218">
        <f>'CD Ratio_2'!C32+'CD Ratio_2'!D32+'CD Ratio_2'!E32</f>
        <v>145839</v>
      </c>
      <c r="L32" s="218">
        <f t="shared" si="0"/>
        <v>0</v>
      </c>
      <c r="M32" s="218">
        <f>'CD Ratio_2'!F32+'CD Ratio_2'!G32+'CD Ratio_2'!H32</f>
        <v>78823</v>
      </c>
      <c r="N32" s="218">
        <f t="shared" si="1"/>
        <v>0</v>
      </c>
      <c r="O32" s="144"/>
      <c r="P32" s="144"/>
      <c r="Q32" s="144"/>
      <c r="R32" s="144"/>
      <c r="S32" s="144"/>
    </row>
    <row r="33" spans="1:19" ht="15" customHeight="1" x14ac:dyDescent="0.2">
      <c r="A33" s="63"/>
      <c r="B33" s="75" t="s">
        <v>214</v>
      </c>
      <c r="C33" s="76">
        <f>SUM(C6:C32)</f>
        <v>24193678.359999996</v>
      </c>
      <c r="D33" s="76">
        <f>SUM(D6:D32)</f>
        <v>26821890.829999998</v>
      </c>
      <c r="E33" s="76">
        <f>SUM(E6:E32)</f>
        <v>15387974.490000002</v>
      </c>
      <c r="F33" s="76">
        <f>SUM(F6:F32)</f>
        <v>15044177.249999998</v>
      </c>
      <c r="G33" s="77">
        <f t="shared" si="2"/>
        <v>63.603286201577845</v>
      </c>
      <c r="H33" s="77">
        <f t="shared" si="3"/>
        <v>56.089174865976439</v>
      </c>
      <c r="I33" s="220">
        <f t="shared" si="4"/>
        <v>10.863219849798826</v>
      </c>
      <c r="J33" s="220">
        <f t="shared" si="5"/>
        <v>-2.2341942418959904</v>
      </c>
      <c r="K33" s="218">
        <f>'CD Ratio_2'!C33+'CD Ratio_2'!D33+'CD Ratio_2'!E33</f>
        <v>26821890.829999998</v>
      </c>
      <c r="L33" s="218">
        <f t="shared" si="0"/>
        <v>0</v>
      </c>
      <c r="M33" s="218">
        <f>'CD Ratio_2'!F33+'CD Ratio_2'!G33+'CD Ratio_2'!H33</f>
        <v>15044177.25</v>
      </c>
      <c r="N33" s="218">
        <f t="shared" si="1"/>
        <v>0</v>
      </c>
      <c r="O33" s="144"/>
      <c r="P33" s="144"/>
      <c r="Q33" s="144"/>
      <c r="R33" s="144"/>
      <c r="S33" s="144"/>
    </row>
    <row r="34" spans="1:19" ht="15" customHeight="1" x14ac:dyDescent="0.2">
      <c r="A34" s="63">
        <v>28</v>
      </c>
      <c r="B34" s="64" t="s">
        <v>47</v>
      </c>
      <c r="C34" s="78">
        <v>687710.73</v>
      </c>
      <c r="D34" s="216">
        <v>708983.3</v>
      </c>
      <c r="E34" s="78">
        <v>592252.67000000004</v>
      </c>
      <c r="F34" s="217">
        <v>589102.14</v>
      </c>
      <c r="G34" s="67">
        <f t="shared" si="2"/>
        <v>86.11944588969844</v>
      </c>
      <c r="H34" s="67">
        <f t="shared" si="3"/>
        <v>83.091116532646112</v>
      </c>
      <c r="I34" s="220">
        <f t="shared" si="4"/>
        <v>3.0932438701370946</v>
      </c>
      <c r="J34" s="220">
        <f t="shared" si="5"/>
        <v>-0.53195707838683581</v>
      </c>
      <c r="K34" s="218">
        <f>'CD Ratio_2'!C34+'CD Ratio_2'!D34+'CD Ratio_2'!E34</f>
        <v>708983.29999999993</v>
      </c>
      <c r="L34" s="218">
        <f t="shared" si="0"/>
        <v>0</v>
      </c>
      <c r="M34" s="218">
        <f>'CD Ratio_2'!F34+'CD Ratio_2'!G34+'CD Ratio_2'!H34</f>
        <v>589102.79</v>
      </c>
      <c r="N34" s="218">
        <f t="shared" si="1"/>
        <v>-0.65000000002328306</v>
      </c>
      <c r="O34" s="144"/>
      <c r="P34" s="144"/>
      <c r="Q34" s="144"/>
      <c r="R34" s="144"/>
      <c r="S34" s="144"/>
    </row>
    <row r="35" spans="1:19" ht="15" customHeight="1" x14ac:dyDescent="0.2">
      <c r="A35" s="63">
        <v>29</v>
      </c>
      <c r="B35" s="79" t="s">
        <v>215</v>
      </c>
      <c r="C35" s="70">
        <v>18394</v>
      </c>
      <c r="D35" s="216">
        <v>34394</v>
      </c>
      <c r="E35" s="70">
        <v>50352</v>
      </c>
      <c r="F35" s="217">
        <v>52638</v>
      </c>
      <c r="G35" s="67">
        <f t="shared" si="2"/>
        <v>273.74143742524734</v>
      </c>
      <c r="H35" s="67">
        <f t="shared" si="3"/>
        <v>153.04413560504739</v>
      </c>
      <c r="I35" s="220">
        <f t="shared" si="4"/>
        <v>86.984886375992176</v>
      </c>
      <c r="J35" s="220">
        <f t="shared" si="5"/>
        <v>4.5400381315538612</v>
      </c>
      <c r="K35" s="218">
        <f>'CD Ratio_2'!C35+'CD Ratio_2'!D35+'CD Ratio_2'!E35</f>
        <v>34394</v>
      </c>
      <c r="L35" s="218">
        <f t="shared" si="0"/>
        <v>0</v>
      </c>
      <c r="M35" s="218">
        <f>'CD Ratio_2'!F35+'CD Ratio_2'!G35+'CD Ratio_2'!H35</f>
        <v>52638</v>
      </c>
      <c r="N35" s="218">
        <f t="shared" si="1"/>
        <v>0</v>
      </c>
      <c r="O35" s="144"/>
      <c r="P35" s="144"/>
      <c r="Q35" s="144"/>
      <c r="R35" s="144"/>
      <c r="S35" s="144"/>
    </row>
    <row r="36" spans="1:19" ht="15" customHeight="1" x14ac:dyDescent="0.2">
      <c r="A36" s="63">
        <v>30</v>
      </c>
      <c r="B36" s="64" t="s">
        <v>233</v>
      </c>
      <c r="C36" s="80">
        <v>3000</v>
      </c>
      <c r="D36" s="216">
        <v>3601</v>
      </c>
      <c r="E36" s="81">
        <v>703</v>
      </c>
      <c r="F36" s="217">
        <v>704</v>
      </c>
      <c r="G36" s="67">
        <f t="shared" si="2"/>
        <v>23.433333333333334</v>
      </c>
      <c r="H36" s="67">
        <f t="shared" si="3"/>
        <v>19.55012496528742</v>
      </c>
      <c r="I36" s="220">
        <f t="shared" si="4"/>
        <v>20.033333333333335</v>
      </c>
      <c r="J36" s="220">
        <f t="shared" si="5"/>
        <v>0.14224751066856331</v>
      </c>
      <c r="K36" s="218">
        <f>'CD Ratio_2'!C36+'CD Ratio_2'!D36+'CD Ratio_2'!E36</f>
        <v>3601</v>
      </c>
      <c r="L36" s="218">
        <f t="shared" si="0"/>
        <v>0</v>
      </c>
      <c r="M36" s="218">
        <f>'CD Ratio_2'!F36+'CD Ratio_2'!G36+'CD Ratio_2'!H36</f>
        <v>704</v>
      </c>
      <c r="N36" s="218">
        <f t="shared" si="1"/>
        <v>0</v>
      </c>
      <c r="O36" s="144"/>
      <c r="P36" s="144"/>
      <c r="Q36" s="144"/>
      <c r="R36" s="144"/>
      <c r="S36" s="144"/>
    </row>
    <row r="37" spans="1:19" ht="15" customHeight="1" x14ac:dyDescent="0.2">
      <c r="A37" s="63">
        <v>31</v>
      </c>
      <c r="B37" s="64" t="s">
        <v>78</v>
      </c>
      <c r="C37" s="80">
        <v>3695</v>
      </c>
      <c r="D37" s="216">
        <v>3984</v>
      </c>
      <c r="E37" s="81">
        <v>2</v>
      </c>
      <c r="F37" s="217">
        <v>1.98</v>
      </c>
      <c r="G37" s="67">
        <f t="shared" si="2"/>
        <v>5.4127198917456022E-2</v>
      </c>
      <c r="H37" s="67">
        <f t="shared" si="3"/>
        <v>4.9698795180722892E-2</v>
      </c>
      <c r="I37" s="220">
        <f t="shared" si="4"/>
        <v>7.8213802435723947</v>
      </c>
      <c r="J37" s="220">
        <f t="shared" si="5"/>
        <v>-1.0000000000000009</v>
      </c>
      <c r="K37" s="218">
        <f>'CD Ratio_2'!C37+'CD Ratio_2'!D37+'CD Ratio_2'!E37</f>
        <v>3984</v>
      </c>
      <c r="L37" s="218">
        <f t="shared" si="0"/>
        <v>0</v>
      </c>
      <c r="M37" s="218">
        <f>'CD Ratio_2'!F37+'CD Ratio_2'!G37+'CD Ratio_2'!H37</f>
        <v>2</v>
      </c>
      <c r="N37" s="218">
        <f t="shared" si="1"/>
        <v>-2.0000000000000018E-2</v>
      </c>
      <c r="O37" s="144"/>
      <c r="P37" s="144"/>
      <c r="Q37" s="144"/>
      <c r="R37" s="144"/>
      <c r="S37" s="144"/>
    </row>
    <row r="38" spans="1:19" ht="15" customHeight="1" x14ac:dyDescent="0.2">
      <c r="A38" s="63">
        <v>32</v>
      </c>
      <c r="B38" s="64" t="s">
        <v>51</v>
      </c>
      <c r="C38" s="70">
        <v>5889.54</v>
      </c>
      <c r="D38" s="216">
        <v>6470</v>
      </c>
      <c r="E38" s="70">
        <v>8636.6299999999992</v>
      </c>
      <c r="F38" s="217">
        <v>8522</v>
      </c>
      <c r="G38" s="67">
        <f t="shared" si="2"/>
        <v>146.64354092170186</v>
      </c>
      <c r="H38" s="67">
        <f t="shared" si="3"/>
        <v>131.71561051004636</v>
      </c>
      <c r="I38" s="220">
        <f t="shared" si="4"/>
        <v>9.8557782101827982</v>
      </c>
      <c r="J38" s="220">
        <f t="shared" si="5"/>
        <v>-1.3272538015406381</v>
      </c>
      <c r="K38" s="218">
        <f>'CD Ratio_2'!C38+'CD Ratio_2'!D38+'CD Ratio_2'!E38</f>
        <v>6470</v>
      </c>
      <c r="L38" s="218">
        <f t="shared" ref="L38:L63" si="6">D38-K38</f>
        <v>0</v>
      </c>
      <c r="M38" s="218">
        <f>'CD Ratio_2'!F38+'CD Ratio_2'!G38+'CD Ratio_2'!H38</f>
        <v>8522</v>
      </c>
      <c r="N38" s="218">
        <f t="shared" si="1"/>
        <v>0</v>
      </c>
      <c r="O38" s="144"/>
      <c r="P38" s="144"/>
      <c r="Q38" s="144"/>
      <c r="R38" s="144"/>
      <c r="S38" s="144"/>
    </row>
    <row r="39" spans="1:19" ht="15" customHeight="1" x14ac:dyDescent="0.2">
      <c r="A39" s="63">
        <v>33</v>
      </c>
      <c r="B39" s="64" t="s">
        <v>217</v>
      </c>
      <c r="C39" s="80">
        <v>13229</v>
      </c>
      <c r="D39" s="216">
        <v>16402</v>
      </c>
      <c r="E39" s="81">
        <v>44795</v>
      </c>
      <c r="F39" s="217">
        <v>48279</v>
      </c>
      <c r="G39" s="67">
        <f t="shared" si="2"/>
        <v>338.61213999546453</v>
      </c>
      <c r="H39" s="67">
        <f t="shared" si="3"/>
        <v>294.34825021338861</v>
      </c>
      <c r="I39" s="220">
        <f t="shared" si="4"/>
        <v>23.98518406531106</v>
      </c>
      <c r="J39" s="220">
        <f t="shared" si="5"/>
        <v>7.7776537559995536</v>
      </c>
      <c r="K39" s="218">
        <f>'CD Ratio_2'!C39+'CD Ratio_2'!D39+'CD Ratio_2'!E39</f>
        <v>16402</v>
      </c>
      <c r="L39" s="218">
        <f t="shared" si="6"/>
        <v>0</v>
      </c>
      <c r="M39" s="218">
        <f>'CD Ratio_2'!F39+'CD Ratio_2'!G39+'CD Ratio_2'!H39</f>
        <v>48279</v>
      </c>
      <c r="N39" s="218">
        <f t="shared" si="1"/>
        <v>0</v>
      </c>
      <c r="O39" s="144"/>
      <c r="P39" s="144"/>
      <c r="Q39" s="144"/>
      <c r="R39" s="144"/>
      <c r="S39" s="144"/>
    </row>
    <row r="40" spans="1:19" ht="15" customHeight="1" x14ac:dyDescent="0.2">
      <c r="A40" s="63">
        <v>34</v>
      </c>
      <c r="B40" s="64" t="s">
        <v>89</v>
      </c>
      <c r="C40" s="72">
        <v>657.39</v>
      </c>
      <c r="D40" s="216">
        <v>803</v>
      </c>
      <c r="E40" s="72">
        <v>27.89</v>
      </c>
      <c r="F40" s="217">
        <v>35</v>
      </c>
      <c r="G40" s="67">
        <f t="shared" si="2"/>
        <v>4.2425348727543772</v>
      </c>
      <c r="H40" s="67">
        <f t="shared" si="3"/>
        <v>4.3586550435865501</v>
      </c>
      <c r="I40" s="220">
        <f t="shared" si="4"/>
        <v>22.149713260013087</v>
      </c>
      <c r="J40" s="220">
        <f t="shared" si="5"/>
        <v>25.493008246683399</v>
      </c>
      <c r="K40" s="218">
        <f>'CD Ratio_2'!C40+'CD Ratio_2'!D40+'CD Ratio_2'!E40</f>
        <v>803</v>
      </c>
      <c r="L40" s="218">
        <f t="shared" si="6"/>
        <v>0</v>
      </c>
      <c r="M40" s="218">
        <f>'CD Ratio_2'!F40+'CD Ratio_2'!G40+'CD Ratio_2'!H40</f>
        <v>35</v>
      </c>
      <c r="N40" s="218">
        <f t="shared" si="1"/>
        <v>0</v>
      </c>
      <c r="O40" s="144"/>
      <c r="P40" s="144"/>
      <c r="Q40" s="144"/>
      <c r="R40" s="144"/>
      <c r="S40" s="144"/>
    </row>
    <row r="41" spans="1:19" ht="15" customHeight="1" x14ac:dyDescent="0.2">
      <c r="A41" s="63">
        <v>35</v>
      </c>
      <c r="B41" s="64" t="s">
        <v>219</v>
      </c>
      <c r="C41" s="65">
        <v>44068.87</v>
      </c>
      <c r="D41" s="216">
        <v>47255.02</v>
      </c>
      <c r="E41" s="65">
        <v>16270.29</v>
      </c>
      <c r="F41" s="217">
        <v>15484.12</v>
      </c>
      <c r="G41" s="67">
        <f t="shared" si="2"/>
        <v>36.92014340281473</v>
      </c>
      <c r="H41" s="67">
        <f t="shared" si="3"/>
        <v>32.76714304638957</v>
      </c>
      <c r="I41" s="220">
        <f t="shared" si="4"/>
        <v>7.2299335108887384</v>
      </c>
      <c r="J41" s="220">
        <f t="shared" si="5"/>
        <v>-4.8319360011407291</v>
      </c>
      <c r="K41" s="218">
        <f>'CD Ratio_2'!C41+'CD Ratio_2'!D41+'CD Ratio_2'!E41</f>
        <v>47255.020000000004</v>
      </c>
      <c r="L41" s="218">
        <f t="shared" si="6"/>
        <v>0</v>
      </c>
      <c r="M41" s="218">
        <f>'CD Ratio_2'!F41+'CD Ratio_2'!G41+'CD Ratio_2'!H41</f>
        <v>15484.12</v>
      </c>
      <c r="N41" s="218">
        <f t="shared" si="1"/>
        <v>0</v>
      </c>
      <c r="O41" s="144"/>
      <c r="P41" s="144"/>
      <c r="Q41" s="144"/>
      <c r="R41" s="144"/>
      <c r="S41" s="144"/>
    </row>
    <row r="42" spans="1:19" ht="15" customHeight="1" x14ac:dyDescent="0.2">
      <c r="A42" s="63">
        <v>36</v>
      </c>
      <c r="B42" s="64" t="s">
        <v>71</v>
      </c>
      <c r="C42" s="65">
        <v>708476</v>
      </c>
      <c r="D42" s="216">
        <v>813489</v>
      </c>
      <c r="E42" s="65">
        <v>1161111</v>
      </c>
      <c r="F42" s="217">
        <v>1177664</v>
      </c>
      <c r="G42" s="67">
        <f t="shared" si="2"/>
        <v>163.88854386034248</v>
      </c>
      <c r="H42" s="67">
        <f t="shared" si="3"/>
        <v>144.76704663492683</v>
      </c>
      <c r="I42" s="220">
        <f t="shared" si="4"/>
        <v>14.822379304309532</v>
      </c>
      <c r="J42" s="220">
        <f t="shared" si="5"/>
        <v>1.4256173613030967</v>
      </c>
      <c r="K42" s="218">
        <f>'CD Ratio_2'!C42+'CD Ratio_2'!D42+'CD Ratio_2'!E42</f>
        <v>813489</v>
      </c>
      <c r="L42" s="218">
        <f t="shared" si="6"/>
        <v>0</v>
      </c>
      <c r="M42" s="218">
        <f>'CD Ratio_2'!F42+'CD Ratio_2'!G42+'CD Ratio_2'!H42</f>
        <v>1177664</v>
      </c>
      <c r="N42" s="218">
        <f t="shared" si="1"/>
        <v>0</v>
      </c>
      <c r="O42" s="144"/>
      <c r="P42" s="144"/>
      <c r="Q42" s="144"/>
      <c r="R42" s="144"/>
      <c r="S42" s="144"/>
    </row>
    <row r="43" spans="1:19" ht="15" customHeight="1" x14ac:dyDescent="0.2">
      <c r="A43" s="63">
        <v>37</v>
      </c>
      <c r="B43" s="64" t="s">
        <v>72</v>
      </c>
      <c r="C43" s="65">
        <v>609586.30000000005</v>
      </c>
      <c r="D43" s="216">
        <v>715859</v>
      </c>
      <c r="E43" s="65">
        <v>1041147.98</v>
      </c>
      <c r="F43" s="217">
        <v>1049319</v>
      </c>
      <c r="G43" s="67">
        <f t="shared" si="2"/>
        <v>170.79582989315867</v>
      </c>
      <c r="H43" s="67">
        <f t="shared" si="3"/>
        <v>146.58179892967749</v>
      </c>
      <c r="I43" s="220">
        <f t="shared" si="4"/>
        <v>17.433577493457442</v>
      </c>
      <c r="J43" s="220">
        <f t="shared" si="5"/>
        <v>0.78480870701972827</v>
      </c>
      <c r="K43" s="218">
        <f>'CD Ratio_2'!C43+'CD Ratio_2'!D43+'CD Ratio_2'!E43</f>
        <v>715859</v>
      </c>
      <c r="L43" s="218">
        <f t="shared" si="6"/>
        <v>0</v>
      </c>
      <c r="M43" s="218">
        <f>'CD Ratio_2'!F43+'CD Ratio_2'!G43+'CD Ratio_2'!H43</f>
        <v>1049319</v>
      </c>
      <c r="N43" s="218">
        <f t="shared" si="1"/>
        <v>0</v>
      </c>
      <c r="O43" s="144"/>
      <c r="P43" s="144"/>
      <c r="Q43" s="144"/>
      <c r="R43" s="144"/>
      <c r="S43" s="144"/>
    </row>
    <row r="44" spans="1:19" ht="15" customHeight="1" x14ac:dyDescent="0.2">
      <c r="A44" s="63">
        <v>38</v>
      </c>
      <c r="B44" s="64" t="s">
        <v>220</v>
      </c>
      <c r="C44" s="80">
        <v>1112</v>
      </c>
      <c r="D44" s="216">
        <v>5161</v>
      </c>
      <c r="E44" s="81">
        <v>8798</v>
      </c>
      <c r="F44" s="217">
        <v>15392</v>
      </c>
      <c r="G44" s="67">
        <f t="shared" si="2"/>
        <v>791.1870503597122</v>
      </c>
      <c r="H44" s="67">
        <f t="shared" si="3"/>
        <v>298.23677581863979</v>
      </c>
      <c r="I44" s="220">
        <f t="shared" si="4"/>
        <v>364.11870503597123</v>
      </c>
      <c r="J44" s="220">
        <f t="shared" si="5"/>
        <v>74.948852011820875</v>
      </c>
      <c r="K44" s="218">
        <f>'CD Ratio_2'!C44+'CD Ratio_2'!D44+'CD Ratio_2'!E44</f>
        <v>5161</v>
      </c>
      <c r="L44" s="218">
        <f t="shared" si="6"/>
        <v>0</v>
      </c>
      <c r="M44" s="218">
        <f>'CD Ratio_2'!F44+'CD Ratio_2'!G44+'CD Ratio_2'!H44</f>
        <v>15392</v>
      </c>
      <c r="N44" s="218">
        <f t="shared" si="1"/>
        <v>0</v>
      </c>
      <c r="O44" s="144">
        <v>15392</v>
      </c>
      <c r="P44" s="144"/>
      <c r="Q44" s="144"/>
      <c r="R44" s="144"/>
      <c r="S44" s="144"/>
    </row>
    <row r="45" spans="1:19" ht="15" customHeight="1" x14ac:dyDescent="0.2">
      <c r="A45" s="63">
        <v>39</v>
      </c>
      <c r="B45" s="64" t="s">
        <v>90</v>
      </c>
      <c r="C45" s="66">
        <v>89248</v>
      </c>
      <c r="D45" s="216">
        <v>106725</v>
      </c>
      <c r="E45" s="70">
        <v>248825</v>
      </c>
      <c r="F45" s="217">
        <v>267846</v>
      </c>
      <c r="G45" s="67">
        <f t="shared" si="2"/>
        <v>278.80176586590176</v>
      </c>
      <c r="H45" s="67">
        <f t="shared" si="3"/>
        <v>250.96837666900913</v>
      </c>
      <c r="I45" s="220">
        <f t="shared" si="4"/>
        <v>19.582511652922193</v>
      </c>
      <c r="J45" s="220">
        <f t="shared" si="5"/>
        <v>7.6443283432131013</v>
      </c>
      <c r="K45" s="218">
        <f>'CD Ratio_2'!C45+'CD Ratio_2'!D45+'CD Ratio_2'!E45</f>
        <v>106725</v>
      </c>
      <c r="L45" s="218">
        <f t="shared" si="6"/>
        <v>0</v>
      </c>
      <c r="M45" s="218">
        <f>'CD Ratio_2'!F45+'CD Ratio_2'!G45+'CD Ratio_2'!H45</f>
        <v>267846</v>
      </c>
      <c r="N45" s="218">
        <f t="shared" si="1"/>
        <v>0</v>
      </c>
      <c r="O45" s="144"/>
      <c r="P45" s="144"/>
      <c r="Q45" s="144"/>
      <c r="R45" s="144"/>
      <c r="S45" s="144"/>
    </row>
    <row r="46" spans="1:19" ht="15" customHeight="1" x14ac:dyDescent="0.2">
      <c r="A46" s="63">
        <v>40</v>
      </c>
      <c r="B46" s="64" t="s">
        <v>234</v>
      </c>
      <c r="C46" s="72">
        <v>17676</v>
      </c>
      <c r="D46" s="216">
        <v>15169</v>
      </c>
      <c r="E46" s="72">
        <v>3536</v>
      </c>
      <c r="F46" s="217">
        <v>3241</v>
      </c>
      <c r="G46" s="67">
        <f t="shared" si="2"/>
        <v>20.004525910839558</v>
      </c>
      <c r="H46" s="67">
        <f t="shared" si="3"/>
        <v>21.365943700969083</v>
      </c>
      <c r="I46" s="220">
        <f t="shared" si="4"/>
        <v>-14.18307309346006</v>
      </c>
      <c r="J46" s="220">
        <f t="shared" si="5"/>
        <v>-8.3427601809954748</v>
      </c>
      <c r="K46" s="218">
        <f>'CD Ratio_2'!C46+'CD Ratio_2'!D46+'CD Ratio_2'!E46</f>
        <v>15169</v>
      </c>
      <c r="L46" s="218">
        <f t="shared" si="6"/>
        <v>0</v>
      </c>
      <c r="M46" s="218">
        <f>'CD Ratio_2'!F46+'CD Ratio_2'!G46+'CD Ratio_2'!H46</f>
        <v>3241</v>
      </c>
      <c r="N46" s="218">
        <f t="shared" si="1"/>
        <v>0</v>
      </c>
      <c r="O46" s="144"/>
      <c r="P46" s="144"/>
      <c r="Q46" s="144"/>
      <c r="R46" s="144"/>
      <c r="S46" s="144"/>
    </row>
    <row r="47" spans="1:19" ht="15" customHeight="1" x14ac:dyDescent="0.2">
      <c r="A47" s="63">
        <v>41</v>
      </c>
      <c r="B47" s="64" t="s">
        <v>88</v>
      </c>
      <c r="C47" s="70">
        <v>20914</v>
      </c>
      <c r="D47" s="216">
        <v>21230</v>
      </c>
      <c r="E47" s="70">
        <v>33428</v>
      </c>
      <c r="F47" s="217">
        <v>31778</v>
      </c>
      <c r="G47" s="67">
        <f t="shared" si="2"/>
        <v>159.83551687864588</v>
      </c>
      <c r="H47" s="67">
        <f t="shared" si="3"/>
        <v>149.68440885539331</v>
      </c>
      <c r="I47" s="220">
        <f t="shared" si="4"/>
        <v>1.5109496031366549</v>
      </c>
      <c r="J47" s="220">
        <f t="shared" si="5"/>
        <v>-4.9359818116548997</v>
      </c>
      <c r="K47" s="218">
        <f>'CD Ratio_2'!C47+'CD Ratio_2'!D47+'CD Ratio_2'!E47</f>
        <v>21230</v>
      </c>
      <c r="L47" s="218">
        <f t="shared" si="6"/>
        <v>0</v>
      </c>
      <c r="M47" s="218">
        <f>'CD Ratio_2'!F47+'CD Ratio_2'!G47+'CD Ratio_2'!H47</f>
        <v>31778</v>
      </c>
      <c r="N47" s="218">
        <f t="shared" si="1"/>
        <v>0</v>
      </c>
      <c r="O47" s="144"/>
      <c r="P47" s="144"/>
      <c r="Q47" s="144"/>
      <c r="R47" s="144"/>
      <c r="S47" s="144"/>
    </row>
    <row r="48" spans="1:19" ht="15" customHeight="1" x14ac:dyDescent="0.2">
      <c r="A48" s="63">
        <v>42</v>
      </c>
      <c r="B48" s="64" t="s">
        <v>93</v>
      </c>
      <c r="C48" s="70">
        <v>18322</v>
      </c>
      <c r="D48" s="216">
        <v>22501</v>
      </c>
      <c r="E48" s="70">
        <v>20588</v>
      </c>
      <c r="F48" s="217">
        <v>13802</v>
      </c>
      <c r="G48" s="67">
        <f t="shared" si="2"/>
        <v>112.36764545355311</v>
      </c>
      <c r="H48" s="67">
        <f t="shared" si="3"/>
        <v>61.339496022399004</v>
      </c>
      <c r="I48" s="220">
        <f t="shared" si="4"/>
        <v>22.808645344394716</v>
      </c>
      <c r="J48" s="220">
        <f t="shared" si="5"/>
        <v>-32.960948125121433</v>
      </c>
      <c r="K48" s="218">
        <f>'CD Ratio_2'!C48+'CD Ratio_2'!D48+'CD Ratio_2'!E48</f>
        <v>22501</v>
      </c>
      <c r="L48" s="218">
        <f t="shared" si="6"/>
        <v>0</v>
      </c>
      <c r="M48" s="218">
        <f>'CD Ratio_2'!F48+'CD Ratio_2'!G48+'CD Ratio_2'!H48</f>
        <v>13802</v>
      </c>
      <c r="N48" s="218">
        <f t="shared" si="1"/>
        <v>0</v>
      </c>
      <c r="O48" s="144"/>
      <c r="P48" s="144"/>
      <c r="Q48" s="144"/>
      <c r="R48" s="144"/>
      <c r="S48" s="144"/>
    </row>
    <row r="49" spans="1:19" ht="15" customHeight="1" x14ac:dyDescent="0.2">
      <c r="A49" s="63">
        <v>43</v>
      </c>
      <c r="B49" s="64" t="s">
        <v>73</v>
      </c>
      <c r="C49" s="71">
        <v>102534</v>
      </c>
      <c r="D49" s="216">
        <v>120978</v>
      </c>
      <c r="E49" s="71">
        <v>203987</v>
      </c>
      <c r="F49" s="217">
        <v>223050</v>
      </c>
      <c r="G49" s="67">
        <f t="shared" si="2"/>
        <v>198.94571556751907</v>
      </c>
      <c r="H49" s="67">
        <f t="shared" si="3"/>
        <v>184.37236522342906</v>
      </c>
      <c r="I49" s="220">
        <f t="shared" si="4"/>
        <v>17.988179530692257</v>
      </c>
      <c r="J49" s="220">
        <f t="shared" si="5"/>
        <v>9.3452033708030413</v>
      </c>
      <c r="K49" s="218">
        <f>'CD Ratio_2'!C49+'CD Ratio_2'!D49+'CD Ratio_2'!E49</f>
        <v>120978</v>
      </c>
      <c r="L49" s="218">
        <f t="shared" si="6"/>
        <v>0</v>
      </c>
      <c r="M49" s="218">
        <f>'CD Ratio_2'!F49+'CD Ratio_2'!G49+'CD Ratio_2'!H49</f>
        <v>223050</v>
      </c>
      <c r="N49" s="218">
        <f t="shared" si="1"/>
        <v>0</v>
      </c>
      <c r="O49" s="144"/>
      <c r="P49" s="144"/>
      <c r="Q49" s="144"/>
      <c r="R49" s="144"/>
      <c r="S49" s="144"/>
    </row>
    <row r="50" spans="1:19" ht="15" customHeight="1" x14ac:dyDescent="0.2">
      <c r="A50" s="63">
        <v>44</v>
      </c>
      <c r="B50" s="64" t="s">
        <v>91</v>
      </c>
      <c r="C50" s="72">
        <v>11918</v>
      </c>
      <c r="D50" s="216">
        <v>12314</v>
      </c>
      <c r="E50" s="72">
        <v>4230</v>
      </c>
      <c r="F50" s="217">
        <v>4538</v>
      </c>
      <c r="G50" s="67">
        <f t="shared" si="2"/>
        <v>35.492532304077862</v>
      </c>
      <c r="H50" s="67">
        <f t="shared" si="3"/>
        <v>36.852363163878515</v>
      </c>
      <c r="I50" s="220">
        <f t="shared" si="4"/>
        <v>3.3227051518711193</v>
      </c>
      <c r="J50" s="220">
        <f t="shared" si="5"/>
        <v>7.2813238770685578</v>
      </c>
      <c r="K50" s="218">
        <f>'CD Ratio_2'!C50+'CD Ratio_2'!D50+'CD Ratio_2'!E50</f>
        <v>12314</v>
      </c>
      <c r="L50" s="218">
        <f t="shared" si="6"/>
        <v>0</v>
      </c>
      <c r="M50" s="218">
        <f>'CD Ratio_2'!F50+'CD Ratio_2'!G50+'CD Ratio_2'!H50</f>
        <v>4538</v>
      </c>
      <c r="N50" s="218">
        <f t="shared" si="1"/>
        <v>0</v>
      </c>
      <c r="O50" s="144"/>
      <c r="P50" s="144"/>
      <c r="Q50" s="144"/>
      <c r="R50" s="144"/>
      <c r="S50" s="144"/>
    </row>
    <row r="51" spans="1:19" ht="15" customHeight="1" x14ac:dyDescent="0.2">
      <c r="A51" s="63">
        <v>45</v>
      </c>
      <c r="B51" s="64" t="s">
        <v>75</v>
      </c>
      <c r="C51" s="70">
        <v>54403</v>
      </c>
      <c r="D51" s="216">
        <v>45829</v>
      </c>
      <c r="E51" s="72">
        <v>82076</v>
      </c>
      <c r="F51" s="217">
        <v>82932</v>
      </c>
      <c r="G51" s="67">
        <f t="shared" si="2"/>
        <v>150.86668014631547</v>
      </c>
      <c r="H51" s="67">
        <f t="shared" si="3"/>
        <v>180.959654367322</v>
      </c>
      <c r="I51" s="220">
        <f t="shared" si="4"/>
        <v>-15.760160285278385</v>
      </c>
      <c r="J51" s="220">
        <f t="shared" si="5"/>
        <v>1.0429358155855548</v>
      </c>
      <c r="K51" s="218">
        <f>'CD Ratio_2'!C51+'CD Ratio_2'!D51+'CD Ratio_2'!E51</f>
        <v>45829</v>
      </c>
      <c r="L51" s="218">
        <f t="shared" si="6"/>
        <v>0</v>
      </c>
      <c r="M51" s="218">
        <f>'CD Ratio_2'!F51+'CD Ratio_2'!G51+'CD Ratio_2'!H51</f>
        <v>82932</v>
      </c>
      <c r="N51" s="218">
        <f t="shared" si="1"/>
        <v>0</v>
      </c>
      <c r="O51" s="144"/>
      <c r="P51" s="144"/>
      <c r="Q51" s="144"/>
      <c r="R51" s="144"/>
      <c r="S51" s="144"/>
    </row>
    <row r="52" spans="1:19" ht="15" customHeight="1" x14ac:dyDescent="0.2">
      <c r="A52" s="63">
        <v>46</v>
      </c>
      <c r="B52" s="64" t="s">
        <v>227</v>
      </c>
      <c r="C52" s="82">
        <v>13059.45</v>
      </c>
      <c r="D52" s="216">
        <v>14014.89</v>
      </c>
      <c r="E52" s="82">
        <v>4837.21</v>
      </c>
      <c r="F52" s="217">
        <v>5218.17</v>
      </c>
      <c r="G52" s="67">
        <f t="shared" si="2"/>
        <v>37.039921283055563</v>
      </c>
      <c r="H52" s="67">
        <f t="shared" si="3"/>
        <v>37.233042856561845</v>
      </c>
      <c r="I52" s="220">
        <f t="shared" si="4"/>
        <v>7.3160814582543567</v>
      </c>
      <c r="J52" s="220">
        <f t="shared" si="5"/>
        <v>7.8756142487094829</v>
      </c>
      <c r="K52" s="218">
        <f>'CD Ratio_2'!C52+'CD Ratio_2'!D52+'CD Ratio_2'!E52</f>
        <v>14014.89</v>
      </c>
      <c r="L52" s="218">
        <f t="shared" si="6"/>
        <v>0</v>
      </c>
      <c r="M52" s="218">
        <f>'CD Ratio_2'!F52+'CD Ratio_2'!G52+'CD Ratio_2'!H52</f>
        <v>5218.17</v>
      </c>
      <c r="N52" s="218">
        <f t="shared" si="1"/>
        <v>0</v>
      </c>
      <c r="O52" s="144"/>
      <c r="P52" s="144"/>
      <c r="Q52" s="144"/>
      <c r="R52" s="144"/>
      <c r="S52" s="144"/>
    </row>
    <row r="53" spans="1:19" ht="15" customHeight="1" x14ac:dyDescent="0.2">
      <c r="A53" s="63">
        <v>47</v>
      </c>
      <c r="B53" s="64" t="s">
        <v>77</v>
      </c>
      <c r="C53" s="80">
        <v>32434</v>
      </c>
      <c r="D53" s="216">
        <v>19677</v>
      </c>
      <c r="E53" s="81">
        <v>5051</v>
      </c>
      <c r="F53" s="217">
        <v>6120</v>
      </c>
      <c r="G53" s="67">
        <f t="shared" si="2"/>
        <v>15.573163963741752</v>
      </c>
      <c r="H53" s="67">
        <f t="shared" si="3"/>
        <v>31.102302180210398</v>
      </c>
      <c r="I53" s="220">
        <f t="shared" si="4"/>
        <v>-39.332182277856568</v>
      </c>
      <c r="J53" s="220">
        <f t="shared" si="5"/>
        <v>21.164125915660264</v>
      </c>
      <c r="K53" s="218">
        <f>'CD Ratio_2'!C53+'CD Ratio_2'!D53+'CD Ratio_2'!E53</f>
        <v>19677</v>
      </c>
      <c r="L53" s="218">
        <f t="shared" si="6"/>
        <v>0</v>
      </c>
      <c r="M53" s="218">
        <f>'CD Ratio_2'!F53+'CD Ratio_2'!G53+'CD Ratio_2'!H53</f>
        <v>6120</v>
      </c>
      <c r="N53" s="218">
        <f t="shared" si="1"/>
        <v>0</v>
      </c>
      <c r="O53" s="144"/>
      <c r="P53" s="144"/>
      <c r="Q53" s="144"/>
      <c r="R53" s="144"/>
      <c r="S53" s="144"/>
    </row>
    <row r="54" spans="1:19" ht="15" customHeight="1" x14ac:dyDescent="0.2">
      <c r="A54" s="63">
        <v>48</v>
      </c>
      <c r="B54" s="64" t="s">
        <v>235</v>
      </c>
      <c r="C54" s="80">
        <v>1181</v>
      </c>
      <c r="D54" s="216">
        <v>1624</v>
      </c>
      <c r="E54" s="81">
        <v>5004</v>
      </c>
      <c r="F54" s="217">
        <v>5163</v>
      </c>
      <c r="G54" s="67">
        <f t="shared" si="2"/>
        <v>423.7087214225233</v>
      </c>
      <c r="H54" s="67">
        <f t="shared" si="3"/>
        <v>317.91871921182263</v>
      </c>
      <c r="I54" s="220">
        <f t="shared" si="4"/>
        <v>37.510584250635056</v>
      </c>
      <c r="J54" s="220">
        <f t="shared" si="5"/>
        <v>3.1774580335731413</v>
      </c>
      <c r="K54" s="218">
        <f>'CD Ratio_2'!C54+'CD Ratio_2'!D54+'CD Ratio_2'!E54</f>
        <v>1624</v>
      </c>
      <c r="L54" s="218">
        <f t="shared" si="6"/>
        <v>0</v>
      </c>
      <c r="M54" s="218">
        <f>'CD Ratio_2'!F54+'CD Ratio_2'!G54+'CD Ratio_2'!H54</f>
        <v>5163</v>
      </c>
      <c r="N54" s="218">
        <f t="shared" si="1"/>
        <v>0</v>
      </c>
      <c r="O54" s="144"/>
      <c r="P54" s="144"/>
      <c r="Q54" s="144"/>
      <c r="R54" s="144"/>
      <c r="S54" s="144"/>
    </row>
    <row r="55" spans="1:19" ht="15" customHeight="1" x14ac:dyDescent="0.2">
      <c r="A55" s="63">
        <v>49</v>
      </c>
      <c r="B55" s="64" t="s">
        <v>76</v>
      </c>
      <c r="C55" s="71">
        <v>115160</v>
      </c>
      <c r="D55" s="216">
        <v>124354</v>
      </c>
      <c r="E55" s="71">
        <v>78933</v>
      </c>
      <c r="F55" s="217">
        <v>73566</v>
      </c>
      <c r="G55" s="67">
        <f t="shared" si="2"/>
        <v>68.542028482111846</v>
      </c>
      <c r="H55" s="67">
        <f t="shared" si="3"/>
        <v>59.158531289705195</v>
      </c>
      <c r="I55" s="220">
        <f t="shared" si="4"/>
        <v>7.9836748871135814</v>
      </c>
      <c r="J55" s="220">
        <f t="shared" si="5"/>
        <v>-6.7994374976245675</v>
      </c>
      <c r="K55" s="218">
        <f>'CD Ratio_2'!C55+'CD Ratio_2'!D55+'CD Ratio_2'!E55</f>
        <v>124354</v>
      </c>
      <c r="L55" s="218">
        <f t="shared" si="6"/>
        <v>0</v>
      </c>
      <c r="M55" s="218">
        <f>'CD Ratio_2'!F55+'CD Ratio_2'!G55+'CD Ratio_2'!H55</f>
        <v>73566</v>
      </c>
      <c r="N55" s="218">
        <f t="shared" si="1"/>
        <v>0</v>
      </c>
      <c r="O55" s="144"/>
      <c r="P55" s="144"/>
      <c r="Q55" s="144"/>
      <c r="R55" s="144"/>
      <c r="S55" s="144"/>
    </row>
    <row r="56" spans="1:19" ht="15" customHeight="1" x14ac:dyDescent="0.2">
      <c r="A56" s="63"/>
      <c r="B56" s="75" t="s">
        <v>236</v>
      </c>
      <c r="C56" s="76">
        <f>SUM(C34:C55)</f>
        <v>2572668.2800000003</v>
      </c>
      <c r="D56" s="76">
        <f>SUM(D34:D55)</f>
        <v>2860817.2100000004</v>
      </c>
      <c r="E56" s="76">
        <v>3649498.67</v>
      </c>
      <c r="F56" s="76">
        <f>SUM(F34:F55)</f>
        <v>3674395.41</v>
      </c>
      <c r="G56" s="77">
        <f t="shared" si="2"/>
        <v>141.85655797023313</v>
      </c>
      <c r="H56" s="77">
        <f t="shared" si="3"/>
        <v>128.43866420951792</v>
      </c>
      <c r="I56" s="220">
        <f t="shared" si="4"/>
        <v>11.200391913721582</v>
      </c>
      <c r="J56" s="220">
        <f t="shared" si="5"/>
        <v>0.68219616586406984</v>
      </c>
      <c r="K56" s="218">
        <f>'CD Ratio_2'!C56+'CD Ratio_2'!D56+'CD Ratio_2'!E56</f>
        <v>2860817.2100000004</v>
      </c>
      <c r="L56" s="218">
        <f t="shared" si="6"/>
        <v>0</v>
      </c>
      <c r="M56" s="218">
        <f>'CD Ratio_2'!F56+'CD Ratio_2'!G56+'CD Ratio_2'!H56</f>
        <v>3674396.08</v>
      </c>
      <c r="N56" s="218">
        <f t="shared" si="1"/>
        <v>-0.66999999992549419</v>
      </c>
      <c r="O56" s="144"/>
      <c r="P56" s="144"/>
      <c r="Q56" s="144"/>
      <c r="R56" s="144"/>
      <c r="S56" s="144"/>
    </row>
    <row r="57" spans="1:19" ht="15" customHeight="1" x14ac:dyDescent="0.2">
      <c r="A57" s="63">
        <v>50</v>
      </c>
      <c r="B57" s="64" t="s">
        <v>46</v>
      </c>
      <c r="C57" s="65">
        <v>665919.41</v>
      </c>
      <c r="D57" s="216">
        <v>719849</v>
      </c>
      <c r="E57" s="65">
        <v>399321.2</v>
      </c>
      <c r="F57" s="217">
        <v>385805</v>
      </c>
      <c r="G57" s="67">
        <f t="shared" si="2"/>
        <v>59.965394311002285</v>
      </c>
      <c r="H57" s="67">
        <f t="shared" si="3"/>
        <v>53.595267896461621</v>
      </c>
      <c r="I57" s="220">
        <f t="shared" si="4"/>
        <v>8.0985160051123852</v>
      </c>
      <c r="J57" s="220">
        <f t="shared" si="5"/>
        <v>-3.384793995410214</v>
      </c>
      <c r="K57" s="218">
        <f>'CD Ratio_2'!C57+'CD Ratio_2'!D57+'CD Ratio_2'!E57</f>
        <v>719848.62</v>
      </c>
      <c r="L57" s="218">
        <f t="shared" si="6"/>
        <v>0.38000000000465661</v>
      </c>
      <c r="M57" s="218">
        <f>'CD Ratio_2'!F57+'CD Ratio_2'!G57+'CD Ratio_2'!H57</f>
        <v>385805.48</v>
      </c>
      <c r="N57" s="218">
        <f t="shared" si="1"/>
        <v>-0.47999999998137355</v>
      </c>
      <c r="O57" s="144"/>
      <c r="P57" s="144"/>
      <c r="Q57" s="144"/>
      <c r="R57" s="144"/>
      <c r="S57" s="144"/>
    </row>
    <row r="58" spans="1:19" ht="15" customHeight="1" x14ac:dyDescent="0.2">
      <c r="A58" s="63">
        <v>51</v>
      </c>
      <c r="B58" s="64" t="s">
        <v>229</v>
      </c>
      <c r="C58" s="83">
        <v>609185</v>
      </c>
      <c r="D58" s="216">
        <v>689121</v>
      </c>
      <c r="E58" s="83">
        <v>261454</v>
      </c>
      <c r="F58" s="217">
        <v>250413</v>
      </c>
      <c r="G58" s="67">
        <f t="shared" si="2"/>
        <v>42.918653610972036</v>
      </c>
      <c r="H58" s="67">
        <f t="shared" si="3"/>
        <v>36.338030621617975</v>
      </c>
      <c r="I58" s="220">
        <f t="shared" si="4"/>
        <v>13.121793872140646</v>
      </c>
      <c r="J58" s="220">
        <f t="shared" si="5"/>
        <v>-4.2229225791152558</v>
      </c>
      <c r="K58" s="218">
        <f>'CD Ratio_2'!C58+'CD Ratio_2'!D58+'CD Ratio_2'!E58</f>
        <v>689121</v>
      </c>
      <c r="L58" s="218">
        <f t="shared" si="6"/>
        <v>0</v>
      </c>
      <c r="M58" s="218">
        <f>'CD Ratio_2'!F58+'CD Ratio_2'!G58+'CD Ratio_2'!H58</f>
        <v>250413</v>
      </c>
      <c r="N58" s="218">
        <f t="shared" si="1"/>
        <v>0</v>
      </c>
      <c r="O58" s="144"/>
      <c r="P58" s="144"/>
      <c r="Q58" s="144"/>
      <c r="R58" s="144"/>
      <c r="S58" s="144"/>
    </row>
    <row r="59" spans="1:19" ht="15" customHeight="1" x14ac:dyDescent="0.2">
      <c r="A59" s="63">
        <v>52</v>
      </c>
      <c r="B59" s="64" t="s">
        <v>52</v>
      </c>
      <c r="C59" s="72">
        <v>531172</v>
      </c>
      <c r="D59" s="216">
        <v>616602</v>
      </c>
      <c r="E59" s="72">
        <v>445858</v>
      </c>
      <c r="F59" s="217">
        <v>423208</v>
      </c>
      <c r="G59" s="67">
        <f t="shared" si="2"/>
        <v>83.938535916802849</v>
      </c>
      <c r="H59" s="67">
        <f t="shared" si="3"/>
        <v>68.635521779040616</v>
      </c>
      <c r="I59" s="220">
        <f t="shared" si="4"/>
        <v>16.083302583720528</v>
      </c>
      <c r="J59" s="220">
        <f t="shared" si="5"/>
        <v>-5.0800927649610417</v>
      </c>
      <c r="K59" s="218">
        <f>'CD Ratio_2'!C59+'CD Ratio_2'!D59+'CD Ratio_2'!E59</f>
        <v>616602.33000000007</v>
      </c>
      <c r="L59" s="218">
        <f t="shared" si="6"/>
        <v>-0.33000000007450581</v>
      </c>
      <c r="M59" s="218">
        <f>'CD Ratio_2'!F59+'CD Ratio_2'!G59+'CD Ratio_2'!H59</f>
        <v>423208.12</v>
      </c>
      <c r="N59" s="218">
        <f t="shared" si="1"/>
        <v>-0.11999999999534339</v>
      </c>
      <c r="O59" s="144"/>
      <c r="P59" s="144"/>
      <c r="Q59" s="144"/>
      <c r="R59" s="144"/>
      <c r="S59" s="144"/>
    </row>
    <row r="60" spans="1:19" ht="15" customHeight="1" x14ac:dyDescent="0.2">
      <c r="A60" s="63"/>
      <c r="B60" s="75" t="s">
        <v>230</v>
      </c>
      <c r="C60" s="76">
        <f>SUM(C57:C59)</f>
        <v>1806276.4100000001</v>
      </c>
      <c r="D60" s="76">
        <f>SUM(D57:D59)</f>
        <v>2025572</v>
      </c>
      <c r="E60" s="76">
        <f>SUM(E57:E59)</f>
        <v>1106633.2</v>
      </c>
      <c r="F60" s="76">
        <f>SUM(F57:F59)</f>
        <v>1059426</v>
      </c>
      <c r="G60" s="77">
        <f t="shared" si="2"/>
        <v>61.265994167526102</v>
      </c>
      <c r="H60" s="77">
        <f t="shared" si="3"/>
        <v>52.302559474558301</v>
      </c>
      <c r="I60" s="220">
        <f t="shared" si="4"/>
        <v>12.14075480285987</v>
      </c>
      <c r="J60" s="220">
        <f t="shared" si="5"/>
        <v>-4.2658398464821001</v>
      </c>
      <c r="K60" s="218">
        <f>'CD Ratio_2'!C60+'CD Ratio_2'!D60+'CD Ratio_2'!E60</f>
        <v>2025571.9499999997</v>
      </c>
      <c r="L60" s="218">
        <f t="shared" si="6"/>
        <v>5.0000000279396772E-2</v>
      </c>
      <c r="M60" s="218">
        <f>'CD Ratio_2'!F60+'CD Ratio_2'!G60+'CD Ratio_2'!H60</f>
        <v>1059426.5999999999</v>
      </c>
      <c r="N60" s="218">
        <f t="shared" si="1"/>
        <v>-0.59999999986030161</v>
      </c>
      <c r="O60" s="144"/>
      <c r="P60" s="144"/>
      <c r="Q60" s="144"/>
      <c r="R60" s="144"/>
      <c r="S60" s="144"/>
    </row>
    <row r="61" spans="1:19" ht="15" customHeight="1" x14ac:dyDescent="0.2">
      <c r="A61" s="63">
        <v>53</v>
      </c>
      <c r="B61" s="64" t="s">
        <v>232</v>
      </c>
      <c r="C61" s="65">
        <v>1828654.99</v>
      </c>
      <c r="D61" s="216">
        <v>2091180</v>
      </c>
      <c r="E61" s="65">
        <v>1860135.99</v>
      </c>
      <c r="F61" s="217">
        <v>2414164</v>
      </c>
      <c r="G61" s="67">
        <f t="shared" si="2"/>
        <v>101.72153851722462</v>
      </c>
      <c r="H61" s="67">
        <f t="shared" si="3"/>
        <v>115.44505972704407</v>
      </c>
      <c r="I61" s="220">
        <f t="shared" si="4"/>
        <v>14.356180440576164</v>
      </c>
      <c r="J61" s="220">
        <f t="shared" si="5"/>
        <v>29.784274535755852</v>
      </c>
      <c r="K61" s="218">
        <f>'CD Ratio_2'!C61+'CD Ratio_2'!D61+'CD Ratio_2'!E61</f>
        <v>2091180</v>
      </c>
      <c r="L61" s="218">
        <f t="shared" si="6"/>
        <v>0</v>
      </c>
      <c r="M61" s="218">
        <f>'CD Ratio_2'!F61+'CD Ratio_2'!G61+'CD Ratio_2'!H61</f>
        <v>2414164</v>
      </c>
      <c r="N61" s="218">
        <f t="shared" si="1"/>
        <v>0</v>
      </c>
      <c r="O61" s="144"/>
      <c r="P61" s="144"/>
      <c r="Q61" s="144"/>
      <c r="R61" s="144"/>
      <c r="S61" s="144"/>
    </row>
    <row r="62" spans="1:19" ht="15" customHeight="1" x14ac:dyDescent="0.2">
      <c r="A62" s="225"/>
      <c r="B62" s="226" t="s">
        <v>237</v>
      </c>
      <c r="C62" s="227">
        <f>C61</f>
        <v>1828654.99</v>
      </c>
      <c r="D62" s="227">
        <f t="shared" ref="D62:F62" si="7">D61</f>
        <v>2091180</v>
      </c>
      <c r="E62" s="227">
        <f t="shared" si="7"/>
        <v>1860135.99</v>
      </c>
      <c r="F62" s="227">
        <f t="shared" si="7"/>
        <v>2414164</v>
      </c>
      <c r="G62" s="228">
        <f t="shared" si="2"/>
        <v>101.72153851722462</v>
      </c>
      <c r="H62" s="228">
        <f t="shared" si="3"/>
        <v>115.44505972704407</v>
      </c>
      <c r="I62" s="220">
        <f t="shared" si="4"/>
        <v>14.356180440576164</v>
      </c>
      <c r="J62" s="220">
        <f t="shared" si="5"/>
        <v>29.784274535755852</v>
      </c>
      <c r="K62" s="218">
        <f>'CD Ratio_2'!C62+'CD Ratio_2'!D62+'CD Ratio_2'!E62</f>
        <v>2091180</v>
      </c>
      <c r="L62" s="218">
        <f t="shared" si="6"/>
        <v>0</v>
      </c>
      <c r="M62" s="218">
        <f>'CD Ratio_2'!F62+'CD Ratio_2'!G62+'CD Ratio_2'!H62</f>
        <v>2414164</v>
      </c>
      <c r="N62" s="218">
        <f t="shared" si="1"/>
        <v>0</v>
      </c>
      <c r="O62" s="144"/>
      <c r="P62" s="144"/>
      <c r="Q62" s="144"/>
      <c r="R62" s="144"/>
      <c r="S62" s="144"/>
    </row>
    <row r="63" spans="1:19" ht="15" customHeight="1" x14ac:dyDescent="0.2">
      <c r="A63" s="63"/>
      <c r="B63" s="75" t="s">
        <v>238</v>
      </c>
      <c r="C63" s="76">
        <f>C62+C60+C56+C33</f>
        <v>30401278.039999995</v>
      </c>
      <c r="D63" s="76">
        <f>D62+D60+D56+D33</f>
        <v>33799460.039999999</v>
      </c>
      <c r="E63" s="76">
        <f>E62+E60+E56+E33</f>
        <v>22004242.350000001</v>
      </c>
      <c r="F63" s="76">
        <f>F62+F60+F56+F33</f>
        <v>22192162.659999996</v>
      </c>
      <c r="G63" s="77">
        <f t="shared" si="2"/>
        <v>72.379333267003673</v>
      </c>
      <c r="H63" s="77">
        <f t="shared" si="3"/>
        <v>65.658334877943801</v>
      </c>
      <c r="I63" s="220">
        <f t="shared" si="4"/>
        <v>11.177760341288613</v>
      </c>
      <c r="J63" s="220">
        <f t="shared" si="5"/>
        <v>0.85401854338327132</v>
      </c>
      <c r="K63" s="218">
        <f>'CD Ratio_2'!C63+'CD Ratio_2'!D63+'CD Ratio_2'!E63</f>
        <v>33799459.990000002</v>
      </c>
      <c r="L63" s="218">
        <f t="shared" si="6"/>
        <v>4.9999997019767761E-2</v>
      </c>
      <c r="M63" s="218">
        <f>'CD Ratio_2'!F63+'CD Ratio_2'!G63+'CD Ratio_2'!H63</f>
        <v>22192163.93</v>
      </c>
      <c r="N63" s="218">
        <f t="shared" si="1"/>
        <v>-1.2700000032782555</v>
      </c>
      <c r="O63" s="144"/>
      <c r="P63" s="144"/>
      <c r="Q63" s="144"/>
      <c r="R63" s="144"/>
      <c r="S63" s="144"/>
    </row>
    <row r="64" spans="1:19" x14ac:dyDescent="0.2">
      <c r="A64" s="160"/>
      <c r="B64" s="159"/>
      <c r="C64" s="157"/>
      <c r="D64" s="157"/>
      <c r="E64" s="157"/>
      <c r="F64" s="158"/>
      <c r="G64" s="224"/>
      <c r="H64" s="159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</row>
    <row r="65" spans="1:19" x14ac:dyDescent="0.2">
      <c r="A65" s="160"/>
      <c r="B65" s="159"/>
      <c r="C65" s="157"/>
      <c r="D65" s="157"/>
      <c r="E65" s="157"/>
      <c r="F65" s="157"/>
      <c r="G65" s="158"/>
      <c r="H65" s="159"/>
      <c r="I65" s="211"/>
      <c r="J65" s="144"/>
      <c r="K65" s="144"/>
      <c r="L65" s="144"/>
      <c r="M65" s="144"/>
      <c r="N65" s="144"/>
      <c r="O65" s="144"/>
      <c r="P65" s="144"/>
      <c r="Q65" s="144"/>
      <c r="R65" s="144"/>
      <c r="S65" s="144"/>
    </row>
    <row r="66" spans="1:19" x14ac:dyDescent="0.2">
      <c r="A66" s="160"/>
      <c r="B66" s="159"/>
      <c r="C66" s="157"/>
      <c r="D66" s="157"/>
      <c r="E66" s="157"/>
      <c r="F66" s="158"/>
      <c r="G66" s="159"/>
      <c r="H66" s="159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</row>
  </sheetData>
  <sheetProtection formatCells="0" formatColumns="0" formatRows="0" insertColumns="0" insertRows="0" insertHyperlinks="0" deleteColumns="0" deleteRows="0" selectLockedCells="1" sort="0" autoFilter="0" pivotTables="0"/>
  <autoFilter ref="C5:J64"/>
  <mergeCells count="9">
    <mergeCell ref="K4:N4"/>
    <mergeCell ref="A1:H1"/>
    <mergeCell ref="G3:H3"/>
    <mergeCell ref="A2:H2"/>
    <mergeCell ref="A4:A5"/>
    <mergeCell ref="B4:B5"/>
    <mergeCell ref="C4:D4"/>
    <mergeCell ref="E4:F4"/>
    <mergeCell ref="G4:H4"/>
  </mergeCells>
  <phoneticPr fontId="9" type="noConversion"/>
  <conditionalFormatting sqref="L1:L3 L5:L1048576">
    <cfRule type="cellIs" dxfId="205" priority="2" operator="greaterThan">
      <formula>0</formula>
    </cfRule>
    <cfRule type="cellIs" dxfId="204" priority="3" operator="greaterThan">
      <formula>0</formula>
    </cfRule>
  </conditionalFormatting>
  <conditionalFormatting sqref="N1:N3 N5:N1048576">
    <cfRule type="cellIs" dxfId="203" priority="1" operator="greaterThan">
      <formula>0</formula>
    </cfRule>
  </conditionalFormatting>
  <pageMargins left="1" right="0.25" top="0.5" bottom="0.5" header="0.3" footer="0.3"/>
  <pageSetup scale="70" orientation="portrait" r:id="rId1"/>
  <headerFooter>
    <oddFooter>&amp;CData Table, State Level Banker's Committee, M.P. as on 31.12.2016 Page No. 77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view="pageBreakPreview" zoomScale="60" zoomScaleNormal="100" workbookViewId="0">
      <pane xSplit="2" ySplit="8" topLeftCell="C23" activePane="bottomRight" state="frozen"/>
      <selection pane="topRight" activeCell="C1" sqref="C1"/>
      <selection pane="bottomLeft" activeCell="A9" sqref="A9"/>
      <selection pane="bottomRight" activeCell="L43" sqref="L43"/>
    </sheetView>
  </sheetViews>
  <sheetFormatPr defaultRowHeight="12.75" x14ac:dyDescent="0.2"/>
  <cols>
    <col min="1" max="1" width="5.140625" style="442" customWidth="1"/>
    <col min="2" max="2" width="13.7109375" style="440" customWidth="1"/>
    <col min="3" max="3" width="8.5703125" style="440" customWidth="1"/>
    <col min="4" max="4" width="10.28515625" style="440" customWidth="1"/>
    <col min="5" max="5" width="8.5703125" style="440" customWidth="1"/>
    <col min="6" max="6" width="10.28515625" style="440" customWidth="1"/>
    <col min="7" max="7" width="8.5703125" style="440" customWidth="1"/>
    <col min="8" max="8" width="10.28515625" style="440" customWidth="1"/>
    <col min="9" max="9" width="6.85546875" style="440" customWidth="1"/>
    <col min="10" max="10" width="10.28515625" style="440" customWidth="1"/>
    <col min="11" max="11" width="8.5703125" style="440" customWidth="1"/>
    <col min="12" max="12" width="10.28515625" style="440" customWidth="1"/>
    <col min="13" max="13" width="8.5703125" style="440" customWidth="1"/>
    <col min="14" max="14" width="10.28515625" style="440" customWidth="1"/>
    <col min="15" max="15" width="8.5703125" style="440" customWidth="1"/>
    <col min="16" max="16" width="10.28515625" style="440" customWidth="1"/>
    <col min="17" max="17" width="8.5703125" style="440" customWidth="1"/>
    <col min="18" max="18" width="10.28515625" style="440" customWidth="1"/>
    <col min="19" max="255" width="9.140625" style="440"/>
    <col min="256" max="256" width="5.140625" style="440" customWidth="1"/>
    <col min="257" max="257" width="13.7109375" style="440" customWidth="1"/>
    <col min="258" max="258" width="8.5703125" style="440" customWidth="1"/>
    <col min="259" max="259" width="10.28515625" style="440" customWidth="1"/>
    <col min="260" max="260" width="8.5703125" style="440" customWidth="1"/>
    <col min="261" max="261" width="10.28515625" style="440" customWidth="1"/>
    <col min="262" max="262" width="8.5703125" style="440" customWidth="1"/>
    <col min="263" max="263" width="10.28515625" style="440" customWidth="1"/>
    <col min="264" max="264" width="6.85546875" style="440" customWidth="1"/>
    <col min="265" max="265" width="10.28515625" style="440" customWidth="1"/>
    <col min="266" max="266" width="8.5703125" style="440" customWidth="1"/>
    <col min="267" max="267" width="10.28515625" style="440" customWidth="1"/>
    <col min="268" max="268" width="8.5703125" style="440" customWidth="1"/>
    <col min="269" max="269" width="10.28515625" style="440" customWidth="1"/>
    <col min="270" max="270" width="8.5703125" style="440" customWidth="1"/>
    <col min="271" max="271" width="10.28515625" style="440" customWidth="1"/>
    <col min="272" max="272" width="8.5703125" style="440" customWidth="1"/>
    <col min="273" max="273" width="10.28515625" style="440" customWidth="1"/>
    <col min="274" max="274" width="1.7109375" style="440" customWidth="1"/>
    <col min="275" max="511" width="9.140625" style="440"/>
    <col min="512" max="512" width="5.140625" style="440" customWidth="1"/>
    <col min="513" max="513" width="13.7109375" style="440" customWidth="1"/>
    <col min="514" max="514" width="8.5703125" style="440" customWidth="1"/>
    <col min="515" max="515" width="10.28515625" style="440" customWidth="1"/>
    <col min="516" max="516" width="8.5703125" style="440" customWidth="1"/>
    <col min="517" max="517" width="10.28515625" style="440" customWidth="1"/>
    <col min="518" max="518" width="8.5703125" style="440" customWidth="1"/>
    <col min="519" max="519" width="10.28515625" style="440" customWidth="1"/>
    <col min="520" max="520" width="6.85546875" style="440" customWidth="1"/>
    <col min="521" max="521" width="10.28515625" style="440" customWidth="1"/>
    <col min="522" max="522" width="8.5703125" style="440" customWidth="1"/>
    <col min="523" max="523" width="10.28515625" style="440" customWidth="1"/>
    <col min="524" max="524" width="8.5703125" style="440" customWidth="1"/>
    <col min="525" max="525" width="10.28515625" style="440" customWidth="1"/>
    <col min="526" max="526" width="8.5703125" style="440" customWidth="1"/>
    <col min="527" max="527" width="10.28515625" style="440" customWidth="1"/>
    <col min="528" max="528" width="8.5703125" style="440" customWidth="1"/>
    <col min="529" max="529" width="10.28515625" style="440" customWidth="1"/>
    <col min="530" max="530" width="1.7109375" style="440" customWidth="1"/>
    <col min="531" max="767" width="9.140625" style="440"/>
    <col min="768" max="768" width="5.140625" style="440" customWidth="1"/>
    <col min="769" max="769" width="13.7109375" style="440" customWidth="1"/>
    <col min="770" max="770" width="8.5703125" style="440" customWidth="1"/>
    <col min="771" max="771" width="10.28515625" style="440" customWidth="1"/>
    <col min="772" max="772" width="8.5703125" style="440" customWidth="1"/>
    <col min="773" max="773" width="10.28515625" style="440" customWidth="1"/>
    <col min="774" max="774" width="8.5703125" style="440" customWidth="1"/>
    <col min="775" max="775" width="10.28515625" style="440" customWidth="1"/>
    <col min="776" max="776" width="6.85546875" style="440" customWidth="1"/>
    <col min="777" max="777" width="10.28515625" style="440" customWidth="1"/>
    <col min="778" max="778" width="8.5703125" style="440" customWidth="1"/>
    <col min="779" max="779" width="10.28515625" style="440" customWidth="1"/>
    <col min="780" max="780" width="8.5703125" style="440" customWidth="1"/>
    <col min="781" max="781" width="10.28515625" style="440" customWidth="1"/>
    <col min="782" max="782" width="8.5703125" style="440" customWidth="1"/>
    <col min="783" max="783" width="10.28515625" style="440" customWidth="1"/>
    <col min="784" max="784" width="8.5703125" style="440" customWidth="1"/>
    <col min="785" max="785" width="10.28515625" style="440" customWidth="1"/>
    <col min="786" max="786" width="1.7109375" style="440" customWidth="1"/>
    <col min="787" max="1023" width="9.140625" style="440"/>
    <col min="1024" max="1024" width="5.140625" style="440" customWidth="1"/>
    <col min="1025" max="1025" width="13.7109375" style="440" customWidth="1"/>
    <col min="1026" max="1026" width="8.5703125" style="440" customWidth="1"/>
    <col min="1027" max="1027" width="10.28515625" style="440" customWidth="1"/>
    <col min="1028" max="1028" width="8.5703125" style="440" customWidth="1"/>
    <col min="1029" max="1029" width="10.28515625" style="440" customWidth="1"/>
    <col min="1030" max="1030" width="8.5703125" style="440" customWidth="1"/>
    <col min="1031" max="1031" width="10.28515625" style="440" customWidth="1"/>
    <col min="1032" max="1032" width="6.85546875" style="440" customWidth="1"/>
    <col min="1033" max="1033" width="10.28515625" style="440" customWidth="1"/>
    <col min="1034" max="1034" width="8.5703125" style="440" customWidth="1"/>
    <col min="1035" max="1035" width="10.28515625" style="440" customWidth="1"/>
    <col min="1036" max="1036" width="8.5703125" style="440" customWidth="1"/>
    <col min="1037" max="1037" width="10.28515625" style="440" customWidth="1"/>
    <col min="1038" max="1038" width="8.5703125" style="440" customWidth="1"/>
    <col min="1039" max="1039" width="10.28515625" style="440" customWidth="1"/>
    <col min="1040" max="1040" width="8.5703125" style="440" customWidth="1"/>
    <col min="1041" max="1041" width="10.28515625" style="440" customWidth="1"/>
    <col min="1042" max="1042" width="1.7109375" style="440" customWidth="1"/>
    <col min="1043" max="1279" width="9.140625" style="440"/>
    <col min="1280" max="1280" width="5.140625" style="440" customWidth="1"/>
    <col min="1281" max="1281" width="13.7109375" style="440" customWidth="1"/>
    <col min="1282" max="1282" width="8.5703125" style="440" customWidth="1"/>
    <col min="1283" max="1283" width="10.28515625" style="440" customWidth="1"/>
    <col min="1284" max="1284" width="8.5703125" style="440" customWidth="1"/>
    <col min="1285" max="1285" width="10.28515625" style="440" customWidth="1"/>
    <col min="1286" max="1286" width="8.5703125" style="440" customWidth="1"/>
    <col min="1287" max="1287" width="10.28515625" style="440" customWidth="1"/>
    <col min="1288" max="1288" width="6.85546875" style="440" customWidth="1"/>
    <col min="1289" max="1289" width="10.28515625" style="440" customWidth="1"/>
    <col min="1290" max="1290" width="8.5703125" style="440" customWidth="1"/>
    <col min="1291" max="1291" width="10.28515625" style="440" customWidth="1"/>
    <col min="1292" max="1292" width="8.5703125" style="440" customWidth="1"/>
    <col min="1293" max="1293" width="10.28515625" style="440" customWidth="1"/>
    <col min="1294" max="1294" width="8.5703125" style="440" customWidth="1"/>
    <col min="1295" max="1295" width="10.28515625" style="440" customWidth="1"/>
    <col min="1296" max="1296" width="8.5703125" style="440" customWidth="1"/>
    <col min="1297" max="1297" width="10.28515625" style="440" customWidth="1"/>
    <col min="1298" max="1298" width="1.7109375" style="440" customWidth="1"/>
    <col min="1299" max="1535" width="9.140625" style="440"/>
    <col min="1536" max="1536" width="5.140625" style="440" customWidth="1"/>
    <col min="1537" max="1537" width="13.7109375" style="440" customWidth="1"/>
    <col min="1538" max="1538" width="8.5703125" style="440" customWidth="1"/>
    <col min="1539" max="1539" width="10.28515625" style="440" customWidth="1"/>
    <col min="1540" max="1540" width="8.5703125" style="440" customWidth="1"/>
    <col min="1541" max="1541" width="10.28515625" style="440" customWidth="1"/>
    <col min="1542" max="1542" width="8.5703125" style="440" customWidth="1"/>
    <col min="1543" max="1543" width="10.28515625" style="440" customWidth="1"/>
    <col min="1544" max="1544" width="6.85546875" style="440" customWidth="1"/>
    <col min="1545" max="1545" width="10.28515625" style="440" customWidth="1"/>
    <col min="1546" max="1546" width="8.5703125" style="440" customWidth="1"/>
    <col min="1547" max="1547" width="10.28515625" style="440" customWidth="1"/>
    <col min="1548" max="1548" width="8.5703125" style="440" customWidth="1"/>
    <col min="1549" max="1549" width="10.28515625" style="440" customWidth="1"/>
    <col min="1550" max="1550" width="8.5703125" style="440" customWidth="1"/>
    <col min="1551" max="1551" width="10.28515625" style="440" customWidth="1"/>
    <col min="1552" max="1552" width="8.5703125" style="440" customWidth="1"/>
    <col min="1553" max="1553" width="10.28515625" style="440" customWidth="1"/>
    <col min="1554" max="1554" width="1.7109375" style="440" customWidth="1"/>
    <col min="1555" max="1791" width="9.140625" style="440"/>
    <col min="1792" max="1792" width="5.140625" style="440" customWidth="1"/>
    <col min="1793" max="1793" width="13.7109375" style="440" customWidth="1"/>
    <col min="1794" max="1794" width="8.5703125" style="440" customWidth="1"/>
    <col min="1795" max="1795" width="10.28515625" style="440" customWidth="1"/>
    <col min="1796" max="1796" width="8.5703125" style="440" customWidth="1"/>
    <col min="1797" max="1797" width="10.28515625" style="440" customWidth="1"/>
    <col min="1798" max="1798" width="8.5703125" style="440" customWidth="1"/>
    <col min="1799" max="1799" width="10.28515625" style="440" customWidth="1"/>
    <col min="1800" max="1800" width="6.85546875" style="440" customWidth="1"/>
    <col min="1801" max="1801" width="10.28515625" style="440" customWidth="1"/>
    <col min="1802" max="1802" width="8.5703125" style="440" customWidth="1"/>
    <col min="1803" max="1803" width="10.28515625" style="440" customWidth="1"/>
    <col min="1804" max="1804" width="8.5703125" style="440" customWidth="1"/>
    <col min="1805" max="1805" width="10.28515625" style="440" customWidth="1"/>
    <col min="1806" max="1806" width="8.5703125" style="440" customWidth="1"/>
    <col min="1807" max="1807" width="10.28515625" style="440" customWidth="1"/>
    <col min="1808" max="1808" width="8.5703125" style="440" customWidth="1"/>
    <col min="1809" max="1809" width="10.28515625" style="440" customWidth="1"/>
    <col min="1810" max="1810" width="1.7109375" style="440" customWidth="1"/>
    <col min="1811" max="2047" width="9.140625" style="440"/>
    <col min="2048" max="2048" width="5.140625" style="440" customWidth="1"/>
    <col min="2049" max="2049" width="13.7109375" style="440" customWidth="1"/>
    <col min="2050" max="2050" width="8.5703125" style="440" customWidth="1"/>
    <col min="2051" max="2051" width="10.28515625" style="440" customWidth="1"/>
    <col min="2052" max="2052" width="8.5703125" style="440" customWidth="1"/>
    <col min="2053" max="2053" width="10.28515625" style="440" customWidth="1"/>
    <col min="2054" max="2054" width="8.5703125" style="440" customWidth="1"/>
    <col min="2055" max="2055" width="10.28515625" style="440" customWidth="1"/>
    <col min="2056" max="2056" width="6.85546875" style="440" customWidth="1"/>
    <col min="2057" max="2057" width="10.28515625" style="440" customWidth="1"/>
    <col min="2058" max="2058" width="8.5703125" style="440" customWidth="1"/>
    <col min="2059" max="2059" width="10.28515625" style="440" customWidth="1"/>
    <col min="2060" max="2060" width="8.5703125" style="440" customWidth="1"/>
    <col min="2061" max="2061" width="10.28515625" style="440" customWidth="1"/>
    <col min="2062" max="2062" width="8.5703125" style="440" customWidth="1"/>
    <col min="2063" max="2063" width="10.28515625" style="440" customWidth="1"/>
    <col min="2064" max="2064" width="8.5703125" style="440" customWidth="1"/>
    <col min="2065" max="2065" width="10.28515625" style="440" customWidth="1"/>
    <col min="2066" max="2066" width="1.7109375" style="440" customWidth="1"/>
    <col min="2067" max="2303" width="9.140625" style="440"/>
    <col min="2304" max="2304" width="5.140625" style="440" customWidth="1"/>
    <col min="2305" max="2305" width="13.7109375" style="440" customWidth="1"/>
    <col min="2306" max="2306" width="8.5703125" style="440" customWidth="1"/>
    <col min="2307" max="2307" width="10.28515625" style="440" customWidth="1"/>
    <col min="2308" max="2308" width="8.5703125" style="440" customWidth="1"/>
    <col min="2309" max="2309" width="10.28515625" style="440" customWidth="1"/>
    <col min="2310" max="2310" width="8.5703125" style="440" customWidth="1"/>
    <col min="2311" max="2311" width="10.28515625" style="440" customWidth="1"/>
    <col min="2312" max="2312" width="6.85546875" style="440" customWidth="1"/>
    <col min="2313" max="2313" width="10.28515625" style="440" customWidth="1"/>
    <col min="2314" max="2314" width="8.5703125" style="440" customWidth="1"/>
    <col min="2315" max="2315" width="10.28515625" style="440" customWidth="1"/>
    <col min="2316" max="2316" width="8.5703125" style="440" customWidth="1"/>
    <col min="2317" max="2317" width="10.28515625" style="440" customWidth="1"/>
    <col min="2318" max="2318" width="8.5703125" style="440" customWidth="1"/>
    <col min="2319" max="2319" width="10.28515625" style="440" customWidth="1"/>
    <col min="2320" max="2320" width="8.5703125" style="440" customWidth="1"/>
    <col min="2321" max="2321" width="10.28515625" style="440" customWidth="1"/>
    <col min="2322" max="2322" width="1.7109375" style="440" customWidth="1"/>
    <col min="2323" max="2559" width="9.140625" style="440"/>
    <col min="2560" max="2560" width="5.140625" style="440" customWidth="1"/>
    <col min="2561" max="2561" width="13.7109375" style="440" customWidth="1"/>
    <col min="2562" max="2562" width="8.5703125" style="440" customWidth="1"/>
    <col min="2563" max="2563" width="10.28515625" style="440" customWidth="1"/>
    <col min="2564" max="2564" width="8.5703125" style="440" customWidth="1"/>
    <col min="2565" max="2565" width="10.28515625" style="440" customWidth="1"/>
    <col min="2566" max="2566" width="8.5703125" style="440" customWidth="1"/>
    <col min="2567" max="2567" width="10.28515625" style="440" customWidth="1"/>
    <col min="2568" max="2568" width="6.85546875" style="440" customWidth="1"/>
    <col min="2569" max="2569" width="10.28515625" style="440" customWidth="1"/>
    <col min="2570" max="2570" width="8.5703125" style="440" customWidth="1"/>
    <col min="2571" max="2571" width="10.28515625" style="440" customWidth="1"/>
    <col min="2572" max="2572" width="8.5703125" style="440" customWidth="1"/>
    <col min="2573" max="2573" width="10.28515625" style="440" customWidth="1"/>
    <col min="2574" max="2574" width="8.5703125" style="440" customWidth="1"/>
    <col min="2575" max="2575" width="10.28515625" style="440" customWidth="1"/>
    <col min="2576" max="2576" width="8.5703125" style="440" customWidth="1"/>
    <col min="2577" max="2577" width="10.28515625" style="440" customWidth="1"/>
    <col min="2578" max="2578" width="1.7109375" style="440" customWidth="1"/>
    <col min="2579" max="2815" width="9.140625" style="440"/>
    <col min="2816" max="2816" width="5.140625" style="440" customWidth="1"/>
    <col min="2817" max="2817" width="13.7109375" style="440" customWidth="1"/>
    <col min="2818" max="2818" width="8.5703125" style="440" customWidth="1"/>
    <col min="2819" max="2819" width="10.28515625" style="440" customWidth="1"/>
    <col min="2820" max="2820" width="8.5703125" style="440" customWidth="1"/>
    <col min="2821" max="2821" width="10.28515625" style="440" customWidth="1"/>
    <col min="2822" max="2822" width="8.5703125" style="440" customWidth="1"/>
    <col min="2823" max="2823" width="10.28515625" style="440" customWidth="1"/>
    <col min="2824" max="2824" width="6.85546875" style="440" customWidth="1"/>
    <col min="2825" max="2825" width="10.28515625" style="440" customWidth="1"/>
    <col min="2826" max="2826" width="8.5703125" style="440" customWidth="1"/>
    <col min="2827" max="2827" width="10.28515625" style="440" customWidth="1"/>
    <col min="2828" max="2828" width="8.5703125" style="440" customWidth="1"/>
    <col min="2829" max="2829" width="10.28515625" style="440" customWidth="1"/>
    <col min="2830" max="2830" width="8.5703125" style="440" customWidth="1"/>
    <col min="2831" max="2831" width="10.28515625" style="440" customWidth="1"/>
    <col min="2832" max="2832" width="8.5703125" style="440" customWidth="1"/>
    <col min="2833" max="2833" width="10.28515625" style="440" customWidth="1"/>
    <col min="2834" max="2834" width="1.7109375" style="440" customWidth="1"/>
    <col min="2835" max="3071" width="9.140625" style="440"/>
    <col min="3072" max="3072" width="5.140625" style="440" customWidth="1"/>
    <col min="3073" max="3073" width="13.7109375" style="440" customWidth="1"/>
    <col min="3074" max="3074" width="8.5703125" style="440" customWidth="1"/>
    <col min="3075" max="3075" width="10.28515625" style="440" customWidth="1"/>
    <col min="3076" max="3076" width="8.5703125" style="440" customWidth="1"/>
    <col min="3077" max="3077" width="10.28515625" style="440" customWidth="1"/>
    <col min="3078" max="3078" width="8.5703125" style="440" customWidth="1"/>
    <col min="3079" max="3079" width="10.28515625" style="440" customWidth="1"/>
    <col min="3080" max="3080" width="6.85546875" style="440" customWidth="1"/>
    <col min="3081" max="3081" width="10.28515625" style="440" customWidth="1"/>
    <col min="3082" max="3082" width="8.5703125" style="440" customWidth="1"/>
    <col min="3083" max="3083" width="10.28515625" style="440" customWidth="1"/>
    <col min="3084" max="3084" width="8.5703125" style="440" customWidth="1"/>
    <col min="3085" max="3085" width="10.28515625" style="440" customWidth="1"/>
    <col min="3086" max="3086" width="8.5703125" style="440" customWidth="1"/>
    <col min="3087" max="3087" width="10.28515625" style="440" customWidth="1"/>
    <col min="3088" max="3088" width="8.5703125" style="440" customWidth="1"/>
    <col min="3089" max="3089" width="10.28515625" style="440" customWidth="1"/>
    <col min="3090" max="3090" width="1.7109375" style="440" customWidth="1"/>
    <col min="3091" max="3327" width="9.140625" style="440"/>
    <col min="3328" max="3328" width="5.140625" style="440" customWidth="1"/>
    <col min="3329" max="3329" width="13.7109375" style="440" customWidth="1"/>
    <col min="3330" max="3330" width="8.5703125" style="440" customWidth="1"/>
    <col min="3331" max="3331" width="10.28515625" style="440" customWidth="1"/>
    <col min="3332" max="3332" width="8.5703125" style="440" customWidth="1"/>
    <col min="3333" max="3333" width="10.28515625" style="440" customWidth="1"/>
    <col min="3334" max="3334" width="8.5703125" style="440" customWidth="1"/>
    <col min="3335" max="3335" width="10.28515625" style="440" customWidth="1"/>
    <col min="3336" max="3336" width="6.85546875" style="440" customWidth="1"/>
    <col min="3337" max="3337" width="10.28515625" style="440" customWidth="1"/>
    <col min="3338" max="3338" width="8.5703125" style="440" customWidth="1"/>
    <col min="3339" max="3339" width="10.28515625" style="440" customWidth="1"/>
    <col min="3340" max="3340" width="8.5703125" style="440" customWidth="1"/>
    <col min="3341" max="3341" width="10.28515625" style="440" customWidth="1"/>
    <col min="3342" max="3342" width="8.5703125" style="440" customWidth="1"/>
    <col min="3343" max="3343" width="10.28515625" style="440" customWidth="1"/>
    <col min="3344" max="3344" width="8.5703125" style="440" customWidth="1"/>
    <col min="3345" max="3345" width="10.28515625" style="440" customWidth="1"/>
    <col min="3346" max="3346" width="1.7109375" style="440" customWidth="1"/>
    <col min="3347" max="3583" width="9.140625" style="440"/>
    <col min="3584" max="3584" width="5.140625" style="440" customWidth="1"/>
    <col min="3585" max="3585" width="13.7109375" style="440" customWidth="1"/>
    <col min="3586" max="3586" width="8.5703125" style="440" customWidth="1"/>
    <col min="3587" max="3587" width="10.28515625" style="440" customWidth="1"/>
    <col min="3588" max="3588" width="8.5703125" style="440" customWidth="1"/>
    <col min="3589" max="3589" width="10.28515625" style="440" customWidth="1"/>
    <col min="3590" max="3590" width="8.5703125" style="440" customWidth="1"/>
    <col min="3591" max="3591" width="10.28515625" style="440" customWidth="1"/>
    <col min="3592" max="3592" width="6.85546875" style="440" customWidth="1"/>
    <col min="3593" max="3593" width="10.28515625" style="440" customWidth="1"/>
    <col min="3594" max="3594" width="8.5703125" style="440" customWidth="1"/>
    <col min="3595" max="3595" width="10.28515625" style="440" customWidth="1"/>
    <col min="3596" max="3596" width="8.5703125" style="440" customWidth="1"/>
    <col min="3597" max="3597" width="10.28515625" style="440" customWidth="1"/>
    <col min="3598" max="3598" width="8.5703125" style="440" customWidth="1"/>
    <col min="3599" max="3599" width="10.28515625" style="440" customWidth="1"/>
    <col min="3600" max="3600" width="8.5703125" style="440" customWidth="1"/>
    <col min="3601" max="3601" width="10.28515625" style="440" customWidth="1"/>
    <col min="3602" max="3602" width="1.7109375" style="440" customWidth="1"/>
    <col min="3603" max="3839" width="9.140625" style="440"/>
    <col min="3840" max="3840" width="5.140625" style="440" customWidth="1"/>
    <col min="3841" max="3841" width="13.7109375" style="440" customWidth="1"/>
    <col min="3842" max="3842" width="8.5703125" style="440" customWidth="1"/>
    <col min="3843" max="3843" width="10.28515625" style="440" customWidth="1"/>
    <col min="3844" max="3844" width="8.5703125" style="440" customWidth="1"/>
    <col min="3845" max="3845" width="10.28515625" style="440" customWidth="1"/>
    <col min="3846" max="3846" width="8.5703125" style="440" customWidth="1"/>
    <col min="3847" max="3847" width="10.28515625" style="440" customWidth="1"/>
    <col min="3848" max="3848" width="6.85546875" style="440" customWidth="1"/>
    <col min="3849" max="3849" width="10.28515625" style="440" customWidth="1"/>
    <col min="3850" max="3850" width="8.5703125" style="440" customWidth="1"/>
    <col min="3851" max="3851" width="10.28515625" style="440" customWidth="1"/>
    <col min="3852" max="3852" width="8.5703125" style="440" customWidth="1"/>
    <col min="3853" max="3853" width="10.28515625" style="440" customWidth="1"/>
    <col min="3854" max="3854" width="8.5703125" style="440" customWidth="1"/>
    <col min="3855" max="3855" width="10.28515625" style="440" customWidth="1"/>
    <col min="3856" max="3856" width="8.5703125" style="440" customWidth="1"/>
    <col min="3857" max="3857" width="10.28515625" style="440" customWidth="1"/>
    <col min="3858" max="3858" width="1.7109375" style="440" customWidth="1"/>
    <col min="3859" max="4095" width="9.140625" style="440"/>
    <col min="4096" max="4096" width="5.140625" style="440" customWidth="1"/>
    <col min="4097" max="4097" width="13.7109375" style="440" customWidth="1"/>
    <col min="4098" max="4098" width="8.5703125" style="440" customWidth="1"/>
    <col min="4099" max="4099" width="10.28515625" style="440" customWidth="1"/>
    <col min="4100" max="4100" width="8.5703125" style="440" customWidth="1"/>
    <col min="4101" max="4101" width="10.28515625" style="440" customWidth="1"/>
    <col min="4102" max="4102" width="8.5703125" style="440" customWidth="1"/>
    <col min="4103" max="4103" width="10.28515625" style="440" customWidth="1"/>
    <col min="4104" max="4104" width="6.85546875" style="440" customWidth="1"/>
    <col min="4105" max="4105" width="10.28515625" style="440" customWidth="1"/>
    <col min="4106" max="4106" width="8.5703125" style="440" customWidth="1"/>
    <col min="4107" max="4107" width="10.28515625" style="440" customWidth="1"/>
    <col min="4108" max="4108" width="8.5703125" style="440" customWidth="1"/>
    <col min="4109" max="4109" width="10.28515625" style="440" customWidth="1"/>
    <col min="4110" max="4110" width="8.5703125" style="440" customWidth="1"/>
    <col min="4111" max="4111" width="10.28515625" style="440" customWidth="1"/>
    <col min="4112" max="4112" width="8.5703125" style="440" customWidth="1"/>
    <col min="4113" max="4113" width="10.28515625" style="440" customWidth="1"/>
    <col min="4114" max="4114" width="1.7109375" style="440" customWidth="1"/>
    <col min="4115" max="4351" width="9.140625" style="440"/>
    <col min="4352" max="4352" width="5.140625" style="440" customWidth="1"/>
    <col min="4353" max="4353" width="13.7109375" style="440" customWidth="1"/>
    <col min="4354" max="4354" width="8.5703125" style="440" customWidth="1"/>
    <col min="4355" max="4355" width="10.28515625" style="440" customWidth="1"/>
    <col min="4356" max="4356" width="8.5703125" style="440" customWidth="1"/>
    <col min="4357" max="4357" width="10.28515625" style="440" customWidth="1"/>
    <col min="4358" max="4358" width="8.5703125" style="440" customWidth="1"/>
    <col min="4359" max="4359" width="10.28515625" style="440" customWidth="1"/>
    <col min="4360" max="4360" width="6.85546875" style="440" customWidth="1"/>
    <col min="4361" max="4361" width="10.28515625" style="440" customWidth="1"/>
    <col min="4362" max="4362" width="8.5703125" style="440" customWidth="1"/>
    <col min="4363" max="4363" width="10.28515625" style="440" customWidth="1"/>
    <col min="4364" max="4364" width="8.5703125" style="440" customWidth="1"/>
    <col min="4365" max="4365" width="10.28515625" style="440" customWidth="1"/>
    <col min="4366" max="4366" width="8.5703125" style="440" customWidth="1"/>
    <col min="4367" max="4367" width="10.28515625" style="440" customWidth="1"/>
    <col min="4368" max="4368" width="8.5703125" style="440" customWidth="1"/>
    <col min="4369" max="4369" width="10.28515625" style="440" customWidth="1"/>
    <col min="4370" max="4370" width="1.7109375" style="440" customWidth="1"/>
    <col min="4371" max="4607" width="9.140625" style="440"/>
    <col min="4608" max="4608" width="5.140625" style="440" customWidth="1"/>
    <col min="4609" max="4609" width="13.7109375" style="440" customWidth="1"/>
    <col min="4610" max="4610" width="8.5703125" style="440" customWidth="1"/>
    <col min="4611" max="4611" width="10.28515625" style="440" customWidth="1"/>
    <col min="4612" max="4612" width="8.5703125" style="440" customWidth="1"/>
    <col min="4613" max="4613" width="10.28515625" style="440" customWidth="1"/>
    <col min="4614" max="4614" width="8.5703125" style="440" customWidth="1"/>
    <col min="4615" max="4615" width="10.28515625" style="440" customWidth="1"/>
    <col min="4616" max="4616" width="6.85546875" style="440" customWidth="1"/>
    <col min="4617" max="4617" width="10.28515625" style="440" customWidth="1"/>
    <col min="4618" max="4618" width="8.5703125" style="440" customWidth="1"/>
    <col min="4619" max="4619" width="10.28515625" style="440" customWidth="1"/>
    <col min="4620" max="4620" width="8.5703125" style="440" customWidth="1"/>
    <col min="4621" max="4621" width="10.28515625" style="440" customWidth="1"/>
    <col min="4622" max="4622" width="8.5703125" style="440" customWidth="1"/>
    <col min="4623" max="4623" width="10.28515625" style="440" customWidth="1"/>
    <col min="4624" max="4624" width="8.5703125" style="440" customWidth="1"/>
    <col min="4625" max="4625" width="10.28515625" style="440" customWidth="1"/>
    <col min="4626" max="4626" width="1.7109375" style="440" customWidth="1"/>
    <col min="4627" max="4863" width="9.140625" style="440"/>
    <col min="4864" max="4864" width="5.140625" style="440" customWidth="1"/>
    <col min="4865" max="4865" width="13.7109375" style="440" customWidth="1"/>
    <col min="4866" max="4866" width="8.5703125" style="440" customWidth="1"/>
    <col min="4867" max="4867" width="10.28515625" style="440" customWidth="1"/>
    <col min="4868" max="4868" width="8.5703125" style="440" customWidth="1"/>
    <col min="4869" max="4869" width="10.28515625" style="440" customWidth="1"/>
    <col min="4870" max="4870" width="8.5703125" style="440" customWidth="1"/>
    <col min="4871" max="4871" width="10.28515625" style="440" customWidth="1"/>
    <col min="4872" max="4872" width="6.85546875" style="440" customWidth="1"/>
    <col min="4873" max="4873" width="10.28515625" style="440" customWidth="1"/>
    <col min="4874" max="4874" width="8.5703125" style="440" customWidth="1"/>
    <col min="4875" max="4875" width="10.28515625" style="440" customWidth="1"/>
    <col min="4876" max="4876" width="8.5703125" style="440" customWidth="1"/>
    <col min="4877" max="4877" width="10.28515625" style="440" customWidth="1"/>
    <col min="4878" max="4878" width="8.5703125" style="440" customWidth="1"/>
    <col min="4879" max="4879" width="10.28515625" style="440" customWidth="1"/>
    <col min="4880" max="4880" width="8.5703125" style="440" customWidth="1"/>
    <col min="4881" max="4881" width="10.28515625" style="440" customWidth="1"/>
    <col min="4882" max="4882" width="1.7109375" style="440" customWidth="1"/>
    <col min="4883" max="5119" width="9.140625" style="440"/>
    <col min="5120" max="5120" width="5.140625" style="440" customWidth="1"/>
    <col min="5121" max="5121" width="13.7109375" style="440" customWidth="1"/>
    <col min="5122" max="5122" width="8.5703125" style="440" customWidth="1"/>
    <col min="5123" max="5123" width="10.28515625" style="440" customWidth="1"/>
    <col min="5124" max="5124" width="8.5703125" style="440" customWidth="1"/>
    <col min="5125" max="5125" width="10.28515625" style="440" customWidth="1"/>
    <col min="5126" max="5126" width="8.5703125" style="440" customWidth="1"/>
    <col min="5127" max="5127" width="10.28515625" style="440" customWidth="1"/>
    <col min="5128" max="5128" width="6.85546875" style="440" customWidth="1"/>
    <col min="5129" max="5129" width="10.28515625" style="440" customWidth="1"/>
    <col min="5130" max="5130" width="8.5703125" style="440" customWidth="1"/>
    <col min="5131" max="5131" width="10.28515625" style="440" customWidth="1"/>
    <col min="5132" max="5132" width="8.5703125" style="440" customWidth="1"/>
    <col min="5133" max="5133" width="10.28515625" style="440" customWidth="1"/>
    <col min="5134" max="5134" width="8.5703125" style="440" customWidth="1"/>
    <col min="5135" max="5135" width="10.28515625" style="440" customWidth="1"/>
    <col min="5136" max="5136" width="8.5703125" style="440" customWidth="1"/>
    <col min="5137" max="5137" width="10.28515625" style="440" customWidth="1"/>
    <col min="5138" max="5138" width="1.7109375" style="440" customWidth="1"/>
    <col min="5139" max="5375" width="9.140625" style="440"/>
    <col min="5376" max="5376" width="5.140625" style="440" customWidth="1"/>
    <col min="5377" max="5377" width="13.7109375" style="440" customWidth="1"/>
    <col min="5378" max="5378" width="8.5703125" style="440" customWidth="1"/>
    <col min="5379" max="5379" width="10.28515625" style="440" customWidth="1"/>
    <col min="5380" max="5380" width="8.5703125" style="440" customWidth="1"/>
    <col min="5381" max="5381" width="10.28515625" style="440" customWidth="1"/>
    <col min="5382" max="5382" width="8.5703125" style="440" customWidth="1"/>
    <col min="5383" max="5383" width="10.28515625" style="440" customWidth="1"/>
    <col min="5384" max="5384" width="6.85546875" style="440" customWidth="1"/>
    <col min="5385" max="5385" width="10.28515625" style="440" customWidth="1"/>
    <col min="5386" max="5386" width="8.5703125" style="440" customWidth="1"/>
    <col min="5387" max="5387" width="10.28515625" style="440" customWidth="1"/>
    <col min="5388" max="5388" width="8.5703125" style="440" customWidth="1"/>
    <col min="5389" max="5389" width="10.28515625" style="440" customWidth="1"/>
    <col min="5390" max="5390" width="8.5703125" style="440" customWidth="1"/>
    <col min="5391" max="5391" width="10.28515625" style="440" customWidth="1"/>
    <col min="5392" max="5392" width="8.5703125" style="440" customWidth="1"/>
    <col min="5393" max="5393" width="10.28515625" style="440" customWidth="1"/>
    <col min="5394" max="5394" width="1.7109375" style="440" customWidth="1"/>
    <col min="5395" max="5631" width="9.140625" style="440"/>
    <col min="5632" max="5632" width="5.140625" style="440" customWidth="1"/>
    <col min="5633" max="5633" width="13.7109375" style="440" customWidth="1"/>
    <col min="5634" max="5634" width="8.5703125" style="440" customWidth="1"/>
    <col min="5635" max="5635" width="10.28515625" style="440" customWidth="1"/>
    <col min="5636" max="5636" width="8.5703125" style="440" customWidth="1"/>
    <col min="5637" max="5637" width="10.28515625" style="440" customWidth="1"/>
    <col min="5638" max="5638" width="8.5703125" style="440" customWidth="1"/>
    <col min="5639" max="5639" width="10.28515625" style="440" customWidth="1"/>
    <col min="5640" max="5640" width="6.85546875" style="440" customWidth="1"/>
    <col min="5641" max="5641" width="10.28515625" style="440" customWidth="1"/>
    <col min="5642" max="5642" width="8.5703125" style="440" customWidth="1"/>
    <col min="5643" max="5643" width="10.28515625" style="440" customWidth="1"/>
    <col min="5644" max="5644" width="8.5703125" style="440" customWidth="1"/>
    <col min="5645" max="5645" width="10.28515625" style="440" customWidth="1"/>
    <col min="5646" max="5646" width="8.5703125" style="440" customWidth="1"/>
    <col min="5647" max="5647" width="10.28515625" style="440" customWidth="1"/>
    <col min="5648" max="5648" width="8.5703125" style="440" customWidth="1"/>
    <col min="5649" max="5649" width="10.28515625" style="440" customWidth="1"/>
    <col min="5650" max="5650" width="1.7109375" style="440" customWidth="1"/>
    <col min="5651" max="5887" width="9.140625" style="440"/>
    <col min="5888" max="5888" width="5.140625" style="440" customWidth="1"/>
    <col min="5889" max="5889" width="13.7109375" style="440" customWidth="1"/>
    <col min="5890" max="5890" width="8.5703125" style="440" customWidth="1"/>
    <col min="5891" max="5891" width="10.28515625" style="440" customWidth="1"/>
    <col min="5892" max="5892" width="8.5703125" style="440" customWidth="1"/>
    <col min="5893" max="5893" width="10.28515625" style="440" customWidth="1"/>
    <col min="5894" max="5894" width="8.5703125" style="440" customWidth="1"/>
    <col min="5895" max="5895" width="10.28515625" style="440" customWidth="1"/>
    <col min="5896" max="5896" width="6.85546875" style="440" customWidth="1"/>
    <col min="5897" max="5897" width="10.28515625" style="440" customWidth="1"/>
    <col min="5898" max="5898" width="8.5703125" style="440" customWidth="1"/>
    <col min="5899" max="5899" width="10.28515625" style="440" customWidth="1"/>
    <col min="5900" max="5900" width="8.5703125" style="440" customWidth="1"/>
    <col min="5901" max="5901" width="10.28515625" style="440" customWidth="1"/>
    <col min="5902" max="5902" width="8.5703125" style="440" customWidth="1"/>
    <col min="5903" max="5903" width="10.28515625" style="440" customWidth="1"/>
    <col min="5904" max="5904" width="8.5703125" style="440" customWidth="1"/>
    <col min="5905" max="5905" width="10.28515625" style="440" customWidth="1"/>
    <col min="5906" max="5906" width="1.7109375" style="440" customWidth="1"/>
    <col min="5907" max="6143" width="9.140625" style="440"/>
    <col min="6144" max="6144" width="5.140625" style="440" customWidth="1"/>
    <col min="6145" max="6145" width="13.7109375" style="440" customWidth="1"/>
    <col min="6146" max="6146" width="8.5703125" style="440" customWidth="1"/>
    <col min="6147" max="6147" width="10.28515625" style="440" customWidth="1"/>
    <col min="6148" max="6148" width="8.5703125" style="440" customWidth="1"/>
    <col min="6149" max="6149" width="10.28515625" style="440" customWidth="1"/>
    <col min="6150" max="6150" width="8.5703125" style="440" customWidth="1"/>
    <col min="6151" max="6151" width="10.28515625" style="440" customWidth="1"/>
    <col min="6152" max="6152" width="6.85546875" style="440" customWidth="1"/>
    <col min="6153" max="6153" width="10.28515625" style="440" customWidth="1"/>
    <col min="6154" max="6154" width="8.5703125" style="440" customWidth="1"/>
    <col min="6155" max="6155" width="10.28515625" style="440" customWidth="1"/>
    <col min="6156" max="6156" width="8.5703125" style="440" customWidth="1"/>
    <col min="6157" max="6157" width="10.28515625" style="440" customWidth="1"/>
    <col min="6158" max="6158" width="8.5703125" style="440" customWidth="1"/>
    <col min="6159" max="6159" width="10.28515625" style="440" customWidth="1"/>
    <col min="6160" max="6160" width="8.5703125" style="440" customWidth="1"/>
    <col min="6161" max="6161" width="10.28515625" style="440" customWidth="1"/>
    <col min="6162" max="6162" width="1.7109375" style="440" customWidth="1"/>
    <col min="6163" max="6399" width="9.140625" style="440"/>
    <col min="6400" max="6400" width="5.140625" style="440" customWidth="1"/>
    <col min="6401" max="6401" width="13.7109375" style="440" customWidth="1"/>
    <col min="6402" max="6402" width="8.5703125" style="440" customWidth="1"/>
    <col min="6403" max="6403" width="10.28515625" style="440" customWidth="1"/>
    <col min="6404" max="6404" width="8.5703125" style="440" customWidth="1"/>
    <col min="6405" max="6405" width="10.28515625" style="440" customWidth="1"/>
    <col min="6406" max="6406" width="8.5703125" style="440" customWidth="1"/>
    <col min="6407" max="6407" width="10.28515625" style="440" customWidth="1"/>
    <col min="6408" max="6408" width="6.85546875" style="440" customWidth="1"/>
    <col min="6409" max="6409" width="10.28515625" style="440" customWidth="1"/>
    <col min="6410" max="6410" width="8.5703125" style="440" customWidth="1"/>
    <col min="6411" max="6411" width="10.28515625" style="440" customWidth="1"/>
    <col min="6412" max="6412" width="8.5703125" style="440" customWidth="1"/>
    <col min="6413" max="6413" width="10.28515625" style="440" customWidth="1"/>
    <col min="6414" max="6414" width="8.5703125" style="440" customWidth="1"/>
    <col min="6415" max="6415" width="10.28515625" style="440" customWidth="1"/>
    <col min="6416" max="6416" width="8.5703125" style="440" customWidth="1"/>
    <col min="6417" max="6417" width="10.28515625" style="440" customWidth="1"/>
    <col min="6418" max="6418" width="1.7109375" style="440" customWidth="1"/>
    <col min="6419" max="6655" width="9.140625" style="440"/>
    <col min="6656" max="6656" width="5.140625" style="440" customWidth="1"/>
    <col min="6657" max="6657" width="13.7109375" style="440" customWidth="1"/>
    <col min="6658" max="6658" width="8.5703125" style="440" customWidth="1"/>
    <col min="6659" max="6659" width="10.28515625" style="440" customWidth="1"/>
    <col min="6660" max="6660" width="8.5703125" style="440" customWidth="1"/>
    <col min="6661" max="6661" width="10.28515625" style="440" customWidth="1"/>
    <col min="6662" max="6662" width="8.5703125" style="440" customWidth="1"/>
    <col min="6663" max="6663" width="10.28515625" style="440" customWidth="1"/>
    <col min="6664" max="6664" width="6.85546875" style="440" customWidth="1"/>
    <col min="6665" max="6665" width="10.28515625" style="440" customWidth="1"/>
    <col min="6666" max="6666" width="8.5703125" style="440" customWidth="1"/>
    <col min="6667" max="6667" width="10.28515625" style="440" customWidth="1"/>
    <col min="6668" max="6668" width="8.5703125" style="440" customWidth="1"/>
    <col min="6669" max="6669" width="10.28515625" style="440" customWidth="1"/>
    <col min="6670" max="6670" width="8.5703125" style="440" customWidth="1"/>
    <col min="6671" max="6671" width="10.28515625" style="440" customWidth="1"/>
    <col min="6672" max="6672" width="8.5703125" style="440" customWidth="1"/>
    <col min="6673" max="6673" width="10.28515625" style="440" customWidth="1"/>
    <col min="6674" max="6674" width="1.7109375" style="440" customWidth="1"/>
    <col min="6675" max="6911" width="9.140625" style="440"/>
    <col min="6912" max="6912" width="5.140625" style="440" customWidth="1"/>
    <col min="6913" max="6913" width="13.7109375" style="440" customWidth="1"/>
    <col min="6914" max="6914" width="8.5703125" style="440" customWidth="1"/>
    <col min="6915" max="6915" width="10.28515625" style="440" customWidth="1"/>
    <col min="6916" max="6916" width="8.5703125" style="440" customWidth="1"/>
    <col min="6917" max="6917" width="10.28515625" style="440" customWidth="1"/>
    <col min="6918" max="6918" width="8.5703125" style="440" customWidth="1"/>
    <col min="6919" max="6919" width="10.28515625" style="440" customWidth="1"/>
    <col min="6920" max="6920" width="6.85546875" style="440" customWidth="1"/>
    <col min="6921" max="6921" width="10.28515625" style="440" customWidth="1"/>
    <col min="6922" max="6922" width="8.5703125" style="440" customWidth="1"/>
    <col min="6923" max="6923" width="10.28515625" style="440" customWidth="1"/>
    <col min="6924" max="6924" width="8.5703125" style="440" customWidth="1"/>
    <col min="6925" max="6925" width="10.28515625" style="440" customWidth="1"/>
    <col min="6926" max="6926" width="8.5703125" style="440" customWidth="1"/>
    <col min="6927" max="6927" width="10.28515625" style="440" customWidth="1"/>
    <col min="6928" max="6928" width="8.5703125" style="440" customWidth="1"/>
    <col min="6929" max="6929" width="10.28515625" style="440" customWidth="1"/>
    <col min="6930" max="6930" width="1.7109375" style="440" customWidth="1"/>
    <col min="6931" max="7167" width="9.140625" style="440"/>
    <col min="7168" max="7168" width="5.140625" style="440" customWidth="1"/>
    <col min="7169" max="7169" width="13.7109375" style="440" customWidth="1"/>
    <col min="7170" max="7170" width="8.5703125" style="440" customWidth="1"/>
    <col min="7171" max="7171" width="10.28515625" style="440" customWidth="1"/>
    <col min="7172" max="7172" width="8.5703125" style="440" customWidth="1"/>
    <col min="7173" max="7173" width="10.28515625" style="440" customWidth="1"/>
    <col min="7174" max="7174" width="8.5703125" style="440" customWidth="1"/>
    <col min="7175" max="7175" width="10.28515625" style="440" customWidth="1"/>
    <col min="7176" max="7176" width="6.85546875" style="440" customWidth="1"/>
    <col min="7177" max="7177" width="10.28515625" style="440" customWidth="1"/>
    <col min="7178" max="7178" width="8.5703125" style="440" customWidth="1"/>
    <col min="7179" max="7179" width="10.28515625" style="440" customWidth="1"/>
    <col min="7180" max="7180" width="8.5703125" style="440" customWidth="1"/>
    <col min="7181" max="7181" width="10.28515625" style="440" customWidth="1"/>
    <col min="7182" max="7182" width="8.5703125" style="440" customWidth="1"/>
    <col min="7183" max="7183" width="10.28515625" style="440" customWidth="1"/>
    <col min="7184" max="7184" width="8.5703125" style="440" customWidth="1"/>
    <col min="7185" max="7185" width="10.28515625" style="440" customWidth="1"/>
    <col min="7186" max="7186" width="1.7109375" style="440" customWidth="1"/>
    <col min="7187" max="7423" width="9.140625" style="440"/>
    <col min="7424" max="7424" width="5.140625" style="440" customWidth="1"/>
    <col min="7425" max="7425" width="13.7109375" style="440" customWidth="1"/>
    <col min="7426" max="7426" width="8.5703125" style="440" customWidth="1"/>
    <col min="7427" max="7427" width="10.28515625" style="440" customWidth="1"/>
    <col min="7428" max="7428" width="8.5703125" style="440" customWidth="1"/>
    <col min="7429" max="7429" width="10.28515625" style="440" customWidth="1"/>
    <col min="7430" max="7430" width="8.5703125" style="440" customWidth="1"/>
    <col min="7431" max="7431" width="10.28515625" style="440" customWidth="1"/>
    <col min="7432" max="7432" width="6.85546875" style="440" customWidth="1"/>
    <col min="7433" max="7433" width="10.28515625" style="440" customWidth="1"/>
    <col min="7434" max="7434" width="8.5703125" style="440" customWidth="1"/>
    <col min="7435" max="7435" width="10.28515625" style="440" customWidth="1"/>
    <col min="7436" max="7436" width="8.5703125" style="440" customWidth="1"/>
    <col min="7437" max="7437" width="10.28515625" style="440" customWidth="1"/>
    <col min="7438" max="7438" width="8.5703125" style="440" customWidth="1"/>
    <col min="7439" max="7439" width="10.28515625" style="440" customWidth="1"/>
    <col min="7440" max="7440" width="8.5703125" style="440" customWidth="1"/>
    <col min="7441" max="7441" width="10.28515625" style="440" customWidth="1"/>
    <col min="7442" max="7442" width="1.7109375" style="440" customWidth="1"/>
    <col min="7443" max="7679" width="9.140625" style="440"/>
    <col min="7680" max="7680" width="5.140625" style="440" customWidth="1"/>
    <col min="7681" max="7681" width="13.7109375" style="440" customWidth="1"/>
    <col min="7682" max="7682" width="8.5703125" style="440" customWidth="1"/>
    <col min="7683" max="7683" width="10.28515625" style="440" customWidth="1"/>
    <col min="7684" max="7684" width="8.5703125" style="440" customWidth="1"/>
    <col min="7685" max="7685" width="10.28515625" style="440" customWidth="1"/>
    <col min="7686" max="7686" width="8.5703125" style="440" customWidth="1"/>
    <col min="7687" max="7687" width="10.28515625" style="440" customWidth="1"/>
    <col min="7688" max="7688" width="6.85546875" style="440" customWidth="1"/>
    <col min="7689" max="7689" width="10.28515625" style="440" customWidth="1"/>
    <col min="7690" max="7690" width="8.5703125" style="440" customWidth="1"/>
    <col min="7691" max="7691" width="10.28515625" style="440" customWidth="1"/>
    <col min="7692" max="7692" width="8.5703125" style="440" customWidth="1"/>
    <col min="7693" max="7693" width="10.28515625" style="440" customWidth="1"/>
    <col min="7694" max="7694" width="8.5703125" style="440" customWidth="1"/>
    <col min="7695" max="7695" width="10.28515625" style="440" customWidth="1"/>
    <col min="7696" max="7696" width="8.5703125" style="440" customWidth="1"/>
    <col min="7697" max="7697" width="10.28515625" style="440" customWidth="1"/>
    <col min="7698" max="7698" width="1.7109375" style="440" customWidth="1"/>
    <col min="7699" max="7935" width="9.140625" style="440"/>
    <col min="7936" max="7936" width="5.140625" style="440" customWidth="1"/>
    <col min="7937" max="7937" width="13.7109375" style="440" customWidth="1"/>
    <col min="7938" max="7938" width="8.5703125" style="440" customWidth="1"/>
    <col min="7939" max="7939" width="10.28515625" style="440" customWidth="1"/>
    <col min="7940" max="7940" width="8.5703125" style="440" customWidth="1"/>
    <col min="7941" max="7941" width="10.28515625" style="440" customWidth="1"/>
    <col min="7942" max="7942" width="8.5703125" style="440" customWidth="1"/>
    <col min="7943" max="7943" width="10.28515625" style="440" customWidth="1"/>
    <col min="7944" max="7944" width="6.85546875" style="440" customWidth="1"/>
    <col min="7945" max="7945" width="10.28515625" style="440" customWidth="1"/>
    <col min="7946" max="7946" width="8.5703125" style="440" customWidth="1"/>
    <col min="7947" max="7947" width="10.28515625" style="440" customWidth="1"/>
    <col min="7948" max="7948" width="8.5703125" style="440" customWidth="1"/>
    <col min="7949" max="7949" width="10.28515625" style="440" customWidth="1"/>
    <col min="7950" max="7950" width="8.5703125" style="440" customWidth="1"/>
    <col min="7951" max="7951" width="10.28515625" style="440" customWidth="1"/>
    <col min="7952" max="7952" width="8.5703125" style="440" customWidth="1"/>
    <col min="7953" max="7953" width="10.28515625" style="440" customWidth="1"/>
    <col min="7954" max="7954" width="1.7109375" style="440" customWidth="1"/>
    <col min="7955" max="8191" width="9.140625" style="440"/>
    <col min="8192" max="8192" width="5.140625" style="440" customWidth="1"/>
    <col min="8193" max="8193" width="13.7109375" style="440" customWidth="1"/>
    <col min="8194" max="8194" width="8.5703125" style="440" customWidth="1"/>
    <col min="8195" max="8195" width="10.28515625" style="440" customWidth="1"/>
    <col min="8196" max="8196" width="8.5703125" style="440" customWidth="1"/>
    <col min="8197" max="8197" width="10.28515625" style="440" customWidth="1"/>
    <col min="8198" max="8198" width="8.5703125" style="440" customWidth="1"/>
    <col min="8199" max="8199" width="10.28515625" style="440" customWidth="1"/>
    <col min="8200" max="8200" width="6.85546875" style="440" customWidth="1"/>
    <col min="8201" max="8201" width="10.28515625" style="440" customWidth="1"/>
    <col min="8202" max="8202" width="8.5703125" style="440" customWidth="1"/>
    <col min="8203" max="8203" width="10.28515625" style="440" customWidth="1"/>
    <col min="8204" max="8204" width="8.5703125" style="440" customWidth="1"/>
    <col min="8205" max="8205" width="10.28515625" style="440" customWidth="1"/>
    <col min="8206" max="8206" width="8.5703125" style="440" customWidth="1"/>
    <col min="8207" max="8207" width="10.28515625" style="440" customWidth="1"/>
    <col min="8208" max="8208" width="8.5703125" style="440" customWidth="1"/>
    <col min="8209" max="8209" width="10.28515625" style="440" customWidth="1"/>
    <col min="8210" max="8210" width="1.7109375" style="440" customWidth="1"/>
    <col min="8211" max="8447" width="9.140625" style="440"/>
    <col min="8448" max="8448" width="5.140625" style="440" customWidth="1"/>
    <col min="8449" max="8449" width="13.7109375" style="440" customWidth="1"/>
    <col min="8450" max="8450" width="8.5703125" style="440" customWidth="1"/>
    <col min="8451" max="8451" width="10.28515625" style="440" customWidth="1"/>
    <col min="8452" max="8452" width="8.5703125" style="440" customWidth="1"/>
    <col min="8453" max="8453" width="10.28515625" style="440" customWidth="1"/>
    <col min="8454" max="8454" width="8.5703125" style="440" customWidth="1"/>
    <col min="8455" max="8455" width="10.28515625" style="440" customWidth="1"/>
    <col min="8456" max="8456" width="6.85546875" style="440" customWidth="1"/>
    <col min="8457" max="8457" width="10.28515625" style="440" customWidth="1"/>
    <col min="8458" max="8458" width="8.5703125" style="440" customWidth="1"/>
    <col min="8459" max="8459" width="10.28515625" style="440" customWidth="1"/>
    <col min="8460" max="8460" width="8.5703125" style="440" customWidth="1"/>
    <col min="8461" max="8461" width="10.28515625" style="440" customWidth="1"/>
    <col min="8462" max="8462" width="8.5703125" style="440" customWidth="1"/>
    <col min="8463" max="8463" width="10.28515625" style="440" customWidth="1"/>
    <col min="8464" max="8464" width="8.5703125" style="440" customWidth="1"/>
    <col min="8465" max="8465" width="10.28515625" style="440" customWidth="1"/>
    <col min="8466" max="8466" width="1.7109375" style="440" customWidth="1"/>
    <col min="8467" max="8703" width="9.140625" style="440"/>
    <col min="8704" max="8704" width="5.140625" style="440" customWidth="1"/>
    <col min="8705" max="8705" width="13.7109375" style="440" customWidth="1"/>
    <col min="8706" max="8706" width="8.5703125" style="440" customWidth="1"/>
    <col min="8707" max="8707" width="10.28515625" style="440" customWidth="1"/>
    <col min="8708" max="8708" width="8.5703125" style="440" customWidth="1"/>
    <col min="8709" max="8709" width="10.28515625" style="440" customWidth="1"/>
    <col min="8710" max="8710" width="8.5703125" style="440" customWidth="1"/>
    <col min="8711" max="8711" width="10.28515625" style="440" customWidth="1"/>
    <col min="8712" max="8712" width="6.85546875" style="440" customWidth="1"/>
    <col min="8713" max="8713" width="10.28515625" style="440" customWidth="1"/>
    <col min="8714" max="8714" width="8.5703125" style="440" customWidth="1"/>
    <col min="8715" max="8715" width="10.28515625" style="440" customWidth="1"/>
    <col min="8716" max="8716" width="8.5703125" style="440" customWidth="1"/>
    <col min="8717" max="8717" width="10.28515625" style="440" customWidth="1"/>
    <col min="8718" max="8718" width="8.5703125" style="440" customWidth="1"/>
    <col min="8719" max="8719" width="10.28515625" style="440" customWidth="1"/>
    <col min="8720" max="8720" width="8.5703125" style="440" customWidth="1"/>
    <col min="8721" max="8721" width="10.28515625" style="440" customWidth="1"/>
    <col min="8722" max="8722" width="1.7109375" style="440" customWidth="1"/>
    <col min="8723" max="8959" width="9.140625" style="440"/>
    <col min="8960" max="8960" width="5.140625" style="440" customWidth="1"/>
    <col min="8961" max="8961" width="13.7109375" style="440" customWidth="1"/>
    <col min="8962" max="8962" width="8.5703125" style="440" customWidth="1"/>
    <col min="8963" max="8963" width="10.28515625" style="440" customWidth="1"/>
    <col min="8964" max="8964" width="8.5703125" style="440" customWidth="1"/>
    <col min="8965" max="8965" width="10.28515625" style="440" customWidth="1"/>
    <col min="8966" max="8966" width="8.5703125" style="440" customWidth="1"/>
    <col min="8967" max="8967" width="10.28515625" style="440" customWidth="1"/>
    <col min="8968" max="8968" width="6.85546875" style="440" customWidth="1"/>
    <col min="8969" max="8969" width="10.28515625" style="440" customWidth="1"/>
    <col min="8970" max="8970" width="8.5703125" style="440" customWidth="1"/>
    <col min="8971" max="8971" width="10.28515625" style="440" customWidth="1"/>
    <col min="8972" max="8972" width="8.5703125" style="440" customWidth="1"/>
    <col min="8973" max="8973" width="10.28515625" style="440" customWidth="1"/>
    <col min="8974" max="8974" width="8.5703125" style="440" customWidth="1"/>
    <col min="8975" max="8975" width="10.28515625" style="440" customWidth="1"/>
    <col min="8976" max="8976" width="8.5703125" style="440" customWidth="1"/>
    <col min="8977" max="8977" width="10.28515625" style="440" customWidth="1"/>
    <col min="8978" max="8978" width="1.7109375" style="440" customWidth="1"/>
    <col min="8979" max="9215" width="9.140625" style="440"/>
    <col min="9216" max="9216" width="5.140625" style="440" customWidth="1"/>
    <col min="9217" max="9217" width="13.7109375" style="440" customWidth="1"/>
    <col min="9218" max="9218" width="8.5703125" style="440" customWidth="1"/>
    <col min="9219" max="9219" width="10.28515625" style="440" customWidth="1"/>
    <col min="9220" max="9220" width="8.5703125" style="440" customWidth="1"/>
    <col min="9221" max="9221" width="10.28515625" style="440" customWidth="1"/>
    <col min="9222" max="9222" width="8.5703125" style="440" customWidth="1"/>
    <col min="9223" max="9223" width="10.28515625" style="440" customWidth="1"/>
    <col min="9224" max="9224" width="6.85546875" style="440" customWidth="1"/>
    <col min="9225" max="9225" width="10.28515625" style="440" customWidth="1"/>
    <col min="9226" max="9226" width="8.5703125" style="440" customWidth="1"/>
    <col min="9227" max="9227" width="10.28515625" style="440" customWidth="1"/>
    <col min="9228" max="9228" width="8.5703125" style="440" customWidth="1"/>
    <col min="9229" max="9229" width="10.28515625" style="440" customWidth="1"/>
    <col min="9230" max="9230" width="8.5703125" style="440" customWidth="1"/>
    <col min="9231" max="9231" width="10.28515625" style="440" customWidth="1"/>
    <col min="9232" max="9232" width="8.5703125" style="440" customWidth="1"/>
    <col min="9233" max="9233" width="10.28515625" style="440" customWidth="1"/>
    <col min="9234" max="9234" width="1.7109375" style="440" customWidth="1"/>
    <col min="9235" max="9471" width="9.140625" style="440"/>
    <col min="9472" max="9472" width="5.140625" style="440" customWidth="1"/>
    <col min="9473" max="9473" width="13.7109375" style="440" customWidth="1"/>
    <col min="9474" max="9474" width="8.5703125" style="440" customWidth="1"/>
    <col min="9475" max="9475" width="10.28515625" style="440" customWidth="1"/>
    <col min="9476" max="9476" width="8.5703125" style="440" customWidth="1"/>
    <col min="9477" max="9477" width="10.28515625" style="440" customWidth="1"/>
    <col min="9478" max="9478" width="8.5703125" style="440" customWidth="1"/>
    <col min="9479" max="9479" width="10.28515625" style="440" customWidth="1"/>
    <col min="9480" max="9480" width="6.85546875" style="440" customWidth="1"/>
    <col min="9481" max="9481" width="10.28515625" style="440" customWidth="1"/>
    <col min="9482" max="9482" width="8.5703125" style="440" customWidth="1"/>
    <col min="9483" max="9483" width="10.28515625" style="440" customWidth="1"/>
    <col min="9484" max="9484" width="8.5703125" style="440" customWidth="1"/>
    <col min="9485" max="9485" width="10.28515625" style="440" customWidth="1"/>
    <col min="9486" max="9486" width="8.5703125" style="440" customWidth="1"/>
    <col min="9487" max="9487" width="10.28515625" style="440" customWidth="1"/>
    <col min="9488" max="9488" width="8.5703125" style="440" customWidth="1"/>
    <col min="9489" max="9489" width="10.28515625" style="440" customWidth="1"/>
    <col min="9490" max="9490" width="1.7109375" style="440" customWidth="1"/>
    <col min="9491" max="9727" width="9.140625" style="440"/>
    <col min="9728" max="9728" width="5.140625" style="440" customWidth="1"/>
    <col min="9729" max="9729" width="13.7109375" style="440" customWidth="1"/>
    <col min="9730" max="9730" width="8.5703125" style="440" customWidth="1"/>
    <col min="9731" max="9731" width="10.28515625" style="440" customWidth="1"/>
    <col min="9732" max="9732" width="8.5703125" style="440" customWidth="1"/>
    <col min="9733" max="9733" width="10.28515625" style="440" customWidth="1"/>
    <col min="9734" max="9734" width="8.5703125" style="440" customWidth="1"/>
    <col min="9735" max="9735" width="10.28515625" style="440" customWidth="1"/>
    <col min="9736" max="9736" width="6.85546875" style="440" customWidth="1"/>
    <col min="9737" max="9737" width="10.28515625" style="440" customWidth="1"/>
    <col min="9738" max="9738" width="8.5703125" style="440" customWidth="1"/>
    <col min="9739" max="9739" width="10.28515625" style="440" customWidth="1"/>
    <col min="9740" max="9740" width="8.5703125" style="440" customWidth="1"/>
    <col min="9741" max="9741" width="10.28515625" style="440" customWidth="1"/>
    <col min="9742" max="9742" width="8.5703125" style="440" customWidth="1"/>
    <col min="9743" max="9743" width="10.28515625" style="440" customWidth="1"/>
    <col min="9744" max="9744" width="8.5703125" style="440" customWidth="1"/>
    <col min="9745" max="9745" width="10.28515625" style="440" customWidth="1"/>
    <col min="9746" max="9746" width="1.7109375" style="440" customWidth="1"/>
    <col min="9747" max="9983" width="9.140625" style="440"/>
    <col min="9984" max="9984" width="5.140625" style="440" customWidth="1"/>
    <col min="9985" max="9985" width="13.7109375" style="440" customWidth="1"/>
    <col min="9986" max="9986" width="8.5703125" style="440" customWidth="1"/>
    <col min="9987" max="9987" width="10.28515625" style="440" customWidth="1"/>
    <col min="9988" max="9988" width="8.5703125" style="440" customWidth="1"/>
    <col min="9989" max="9989" width="10.28515625" style="440" customWidth="1"/>
    <col min="9990" max="9990" width="8.5703125" style="440" customWidth="1"/>
    <col min="9991" max="9991" width="10.28515625" style="440" customWidth="1"/>
    <col min="9992" max="9992" width="6.85546875" style="440" customWidth="1"/>
    <col min="9993" max="9993" width="10.28515625" style="440" customWidth="1"/>
    <col min="9994" max="9994" width="8.5703125" style="440" customWidth="1"/>
    <col min="9995" max="9995" width="10.28515625" style="440" customWidth="1"/>
    <col min="9996" max="9996" width="8.5703125" style="440" customWidth="1"/>
    <col min="9997" max="9997" width="10.28515625" style="440" customWidth="1"/>
    <col min="9998" max="9998" width="8.5703125" style="440" customWidth="1"/>
    <col min="9999" max="9999" width="10.28515625" style="440" customWidth="1"/>
    <col min="10000" max="10000" width="8.5703125" style="440" customWidth="1"/>
    <col min="10001" max="10001" width="10.28515625" style="440" customWidth="1"/>
    <col min="10002" max="10002" width="1.7109375" style="440" customWidth="1"/>
    <col min="10003" max="10239" width="9.140625" style="440"/>
    <col min="10240" max="10240" width="5.140625" style="440" customWidth="1"/>
    <col min="10241" max="10241" width="13.7109375" style="440" customWidth="1"/>
    <col min="10242" max="10242" width="8.5703125" style="440" customWidth="1"/>
    <col min="10243" max="10243" width="10.28515625" style="440" customWidth="1"/>
    <col min="10244" max="10244" width="8.5703125" style="440" customWidth="1"/>
    <col min="10245" max="10245" width="10.28515625" style="440" customWidth="1"/>
    <col min="10246" max="10246" width="8.5703125" style="440" customWidth="1"/>
    <col min="10247" max="10247" width="10.28515625" style="440" customWidth="1"/>
    <col min="10248" max="10248" width="6.85546875" style="440" customWidth="1"/>
    <col min="10249" max="10249" width="10.28515625" style="440" customWidth="1"/>
    <col min="10250" max="10250" width="8.5703125" style="440" customWidth="1"/>
    <col min="10251" max="10251" width="10.28515625" style="440" customWidth="1"/>
    <col min="10252" max="10252" width="8.5703125" style="440" customWidth="1"/>
    <col min="10253" max="10253" width="10.28515625" style="440" customWidth="1"/>
    <col min="10254" max="10254" width="8.5703125" style="440" customWidth="1"/>
    <col min="10255" max="10255" width="10.28515625" style="440" customWidth="1"/>
    <col min="10256" max="10256" width="8.5703125" style="440" customWidth="1"/>
    <col min="10257" max="10257" width="10.28515625" style="440" customWidth="1"/>
    <col min="10258" max="10258" width="1.7109375" style="440" customWidth="1"/>
    <col min="10259" max="10495" width="9.140625" style="440"/>
    <col min="10496" max="10496" width="5.140625" style="440" customWidth="1"/>
    <col min="10497" max="10497" width="13.7109375" style="440" customWidth="1"/>
    <col min="10498" max="10498" width="8.5703125" style="440" customWidth="1"/>
    <col min="10499" max="10499" width="10.28515625" style="440" customWidth="1"/>
    <col min="10500" max="10500" width="8.5703125" style="440" customWidth="1"/>
    <col min="10501" max="10501" width="10.28515625" style="440" customWidth="1"/>
    <col min="10502" max="10502" width="8.5703125" style="440" customWidth="1"/>
    <col min="10503" max="10503" width="10.28515625" style="440" customWidth="1"/>
    <col min="10504" max="10504" width="6.85546875" style="440" customWidth="1"/>
    <col min="10505" max="10505" width="10.28515625" style="440" customWidth="1"/>
    <col min="10506" max="10506" width="8.5703125" style="440" customWidth="1"/>
    <col min="10507" max="10507" width="10.28515625" style="440" customWidth="1"/>
    <col min="10508" max="10508" width="8.5703125" style="440" customWidth="1"/>
    <col min="10509" max="10509" width="10.28515625" style="440" customWidth="1"/>
    <col min="10510" max="10510" width="8.5703125" style="440" customWidth="1"/>
    <col min="10511" max="10511" width="10.28515625" style="440" customWidth="1"/>
    <col min="10512" max="10512" width="8.5703125" style="440" customWidth="1"/>
    <col min="10513" max="10513" width="10.28515625" style="440" customWidth="1"/>
    <col min="10514" max="10514" width="1.7109375" style="440" customWidth="1"/>
    <col min="10515" max="10751" width="9.140625" style="440"/>
    <col min="10752" max="10752" width="5.140625" style="440" customWidth="1"/>
    <col min="10753" max="10753" width="13.7109375" style="440" customWidth="1"/>
    <col min="10754" max="10754" width="8.5703125" style="440" customWidth="1"/>
    <col min="10755" max="10755" width="10.28515625" style="440" customWidth="1"/>
    <col min="10756" max="10756" width="8.5703125" style="440" customWidth="1"/>
    <col min="10757" max="10757" width="10.28515625" style="440" customWidth="1"/>
    <col min="10758" max="10758" width="8.5703125" style="440" customWidth="1"/>
    <col min="10759" max="10759" width="10.28515625" style="440" customWidth="1"/>
    <col min="10760" max="10760" width="6.85546875" style="440" customWidth="1"/>
    <col min="10761" max="10761" width="10.28515625" style="440" customWidth="1"/>
    <col min="10762" max="10762" width="8.5703125" style="440" customWidth="1"/>
    <col min="10763" max="10763" width="10.28515625" style="440" customWidth="1"/>
    <col min="10764" max="10764" width="8.5703125" style="440" customWidth="1"/>
    <col min="10765" max="10765" width="10.28515625" style="440" customWidth="1"/>
    <col min="10766" max="10766" width="8.5703125" style="440" customWidth="1"/>
    <col min="10767" max="10767" width="10.28515625" style="440" customWidth="1"/>
    <col min="10768" max="10768" width="8.5703125" style="440" customWidth="1"/>
    <col min="10769" max="10769" width="10.28515625" style="440" customWidth="1"/>
    <col min="10770" max="10770" width="1.7109375" style="440" customWidth="1"/>
    <col min="10771" max="11007" width="9.140625" style="440"/>
    <col min="11008" max="11008" width="5.140625" style="440" customWidth="1"/>
    <col min="11009" max="11009" width="13.7109375" style="440" customWidth="1"/>
    <col min="11010" max="11010" width="8.5703125" style="440" customWidth="1"/>
    <col min="11011" max="11011" width="10.28515625" style="440" customWidth="1"/>
    <col min="11012" max="11012" width="8.5703125" style="440" customWidth="1"/>
    <col min="11013" max="11013" width="10.28515625" style="440" customWidth="1"/>
    <col min="11014" max="11014" width="8.5703125" style="440" customWidth="1"/>
    <col min="11015" max="11015" width="10.28515625" style="440" customWidth="1"/>
    <col min="11016" max="11016" width="6.85546875" style="440" customWidth="1"/>
    <col min="11017" max="11017" width="10.28515625" style="440" customWidth="1"/>
    <col min="11018" max="11018" width="8.5703125" style="440" customWidth="1"/>
    <col min="11019" max="11019" width="10.28515625" style="440" customWidth="1"/>
    <col min="11020" max="11020" width="8.5703125" style="440" customWidth="1"/>
    <col min="11021" max="11021" width="10.28515625" style="440" customWidth="1"/>
    <col min="11022" max="11022" width="8.5703125" style="440" customWidth="1"/>
    <col min="11023" max="11023" width="10.28515625" style="440" customWidth="1"/>
    <col min="11024" max="11024" width="8.5703125" style="440" customWidth="1"/>
    <col min="11025" max="11025" width="10.28515625" style="440" customWidth="1"/>
    <col min="11026" max="11026" width="1.7109375" style="440" customWidth="1"/>
    <col min="11027" max="11263" width="9.140625" style="440"/>
    <col min="11264" max="11264" width="5.140625" style="440" customWidth="1"/>
    <col min="11265" max="11265" width="13.7109375" style="440" customWidth="1"/>
    <col min="11266" max="11266" width="8.5703125" style="440" customWidth="1"/>
    <col min="11267" max="11267" width="10.28515625" style="440" customWidth="1"/>
    <col min="11268" max="11268" width="8.5703125" style="440" customWidth="1"/>
    <col min="11269" max="11269" width="10.28515625" style="440" customWidth="1"/>
    <col min="11270" max="11270" width="8.5703125" style="440" customWidth="1"/>
    <col min="11271" max="11271" width="10.28515625" style="440" customWidth="1"/>
    <col min="11272" max="11272" width="6.85546875" style="440" customWidth="1"/>
    <col min="11273" max="11273" width="10.28515625" style="440" customWidth="1"/>
    <col min="11274" max="11274" width="8.5703125" style="440" customWidth="1"/>
    <col min="11275" max="11275" width="10.28515625" style="440" customWidth="1"/>
    <col min="11276" max="11276" width="8.5703125" style="440" customWidth="1"/>
    <col min="11277" max="11277" width="10.28515625" style="440" customWidth="1"/>
    <col min="11278" max="11278" width="8.5703125" style="440" customWidth="1"/>
    <col min="11279" max="11279" width="10.28515625" style="440" customWidth="1"/>
    <col min="11280" max="11280" width="8.5703125" style="440" customWidth="1"/>
    <col min="11281" max="11281" width="10.28515625" style="440" customWidth="1"/>
    <col min="11282" max="11282" width="1.7109375" style="440" customWidth="1"/>
    <col min="11283" max="11519" width="9.140625" style="440"/>
    <col min="11520" max="11520" width="5.140625" style="440" customWidth="1"/>
    <col min="11521" max="11521" width="13.7109375" style="440" customWidth="1"/>
    <col min="11522" max="11522" width="8.5703125" style="440" customWidth="1"/>
    <col min="11523" max="11523" width="10.28515625" style="440" customWidth="1"/>
    <col min="11524" max="11524" width="8.5703125" style="440" customWidth="1"/>
    <col min="11525" max="11525" width="10.28515625" style="440" customWidth="1"/>
    <col min="11526" max="11526" width="8.5703125" style="440" customWidth="1"/>
    <col min="11527" max="11527" width="10.28515625" style="440" customWidth="1"/>
    <col min="11528" max="11528" width="6.85546875" style="440" customWidth="1"/>
    <col min="11529" max="11529" width="10.28515625" style="440" customWidth="1"/>
    <col min="11530" max="11530" width="8.5703125" style="440" customWidth="1"/>
    <col min="11531" max="11531" width="10.28515625" style="440" customWidth="1"/>
    <col min="11532" max="11532" width="8.5703125" style="440" customWidth="1"/>
    <col min="11533" max="11533" width="10.28515625" style="440" customWidth="1"/>
    <col min="11534" max="11534" width="8.5703125" style="440" customWidth="1"/>
    <col min="11535" max="11535" width="10.28515625" style="440" customWidth="1"/>
    <col min="11536" max="11536" width="8.5703125" style="440" customWidth="1"/>
    <col min="11537" max="11537" width="10.28515625" style="440" customWidth="1"/>
    <col min="11538" max="11538" width="1.7109375" style="440" customWidth="1"/>
    <col min="11539" max="11775" width="9.140625" style="440"/>
    <col min="11776" max="11776" width="5.140625" style="440" customWidth="1"/>
    <col min="11777" max="11777" width="13.7109375" style="440" customWidth="1"/>
    <col min="11778" max="11778" width="8.5703125" style="440" customWidth="1"/>
    <col min="11779" max="11779" width="10.28515625" style="440" customWidth="1"/>
    <col min="11780" max="11780" width="8.5703125" style="440" customWidth="1"/>
    <col min="11781" max="11781" width="10.28515625" style="440" customWidth="1"/>
    <col min="11782" max="11782" width="8.5703125" style="440" customWidth="1"/>
    <col min="11783" max="11783" width="10.28515625" style="440" customWidth="1"/>
    <col min="11784" max="11784" width="6.85546875" style="440" customWidth="1"/>
    <col min="11785" max="11785" width="10.28515625" style="440" customWidth="1"/>
    <col min="11786" max="11786" width="8.5703125" style="440" customWidth="1"/>
    <col min="11787" max="11787" width="10.28515625" style="440" customWidth="1"/>
    <col min="11788" max="11788" width="8.5703125" style="440" customWidth="1"/>
    <col min="11789" max="11789" width="10.28515625" style="440" customWidth="1"/>
    <col min="11790" max="11790" width="8.5703125" style="440" customWidth="1"/>
    <col min="11791" max="11791" width="10.28515625" style="440" customWidth="1"/>
    <col min="11792" max="11792" width="8.5703125" style="440" customWidth="1"/>
    <col min="11793" max="11793" width="10.28515625" style="440" customWidth="1"/>
    <col min="11794" max="11794" width="1.7109375" style="440" customWidth="1"/>
    <col min="11795" max="12031" width="9.140625" style="440"/>
    <col min="12032" max="12032" width="5.140625" style="440" customWidth="1"/>
    <col min="12033" max="12033" width="13.7109375" style="440" customWidth="1"/>
    <col min="12034" max="12034" width="8.5703125" style="440" customWidth="1"/>
    <col min="12035" max="12035" width="10.28515625" style="440" customWidth="1"/>
    <col min="12036" max="12036" width="8.5703125" style="440" customWidth="1"/>
    <col min="12037" max="12037" width="10.28515625" style="440" customWidth="1"/>
    <col min="12038" max="12038" width="8.5703125" style="440" customWidth="1"/>
    <col min="12039" max="12039" width="10.28515625" style="440" customWidth="1"/>
    <col min="12040" max="12040" width="6.85546875" style="440" customWidth="1"/>
    <col min="12041" max="12041" width="10.28515625" style="440" customWidth="1"/>
    <col min="12042" max="12042" width="8.5703125" style="440" customWidth="1"/>
    <col min="12043" max="12043" width="10.28515625" style="440" customWidth="1"/>
    <col min="12044" max="12044" width="8.5703125" style="440" customWidth="1"/>
    <col min="12045" max="12045" width="10.28515625" style="440" customWidth="1"/>
    <col min="12046" max="12046" width="8.5703125" style="440" customWidth="1"/>
    <col min="12047" max="12047" width="10.28515625" style="440" customWidth="1"/>
    <col min="12048" max="12048" width="8.5703125" style="440" customWidth="1"/>
    <col min="12049" max="12049" width="10.28515625" style="440" customWidth="1"/>
    <col min="12050" max="12050" width="1.7109375" style="440" customWidth="1"/>
    <col min="12051" max="12287" width="9.140625" style="440"/>
    <col min="12288" max="12288" width="5.140625" style="440" customWidth="1"/>
    <col min="12289" max="12289" width="13.7109375" style="440" customWidth="1"/>
    <col min="12290" max="12290" width="8.5703125" style="440" customWidth="1"/>
    <col min="12291" max="12291" width="10.28515625" style="440" customWidth="1"/>
    <col min="12292" max="12292" width="8.5703125" style="440" customWidth="1"/>
    <col min="12293" max="12293" width="10.28515625" style="440" customWidth="1"/>
    <col min="12294" max="12294" width="8.5703125" style="440" customWidth="1"/>
    <col min="12295" max="12295" width="10.28515625" style="440" customWidth="1"/>
    <col min="12296" max="12296" width="6.85546875" style="440" customWidth="1"/>
    <col min="12297" max="12297" width="10.28515625" style="440" customWidth="1"/>
    <col min="12298" max="12298" width="8.5703125" style="440" customWidth="1"/>
    <col min="12299" max="12299" width="10.28515625" style="440" customWidth="1"/>
    <col min="12300" max="12300" width="8.5703125" style="440" customWidth="1"/>
    <col min="12301" max="12301" width="10.28515625" style="440" customWidth="1"/>
    <col min="12302" max="12302" width="8.5703125" style="440" customWidth="1"/>
    <col min="12303" max="12303" width="10.28515625" style="440" customWidth="1"/>
    <col min="12304" max="12304" width="8.5703125" style="440" customWidth="1"/>
    <col min="12305" max="12305" width="10.28515625" style="440" customWidth="1"/>
    <col min="12306" max="12306" width="1.7109375" style="440" customWidth="1"/>
    <col min="12307" max="12543" width="9.140625" style="440"/>
    <col min="12544" max="12544" width="5.140625" style="440" customWidth="1"/>
    <col min="12545" max="12545" width="13.7109375" style="440" customWidth="1"/>
    <col min="12546" max="12546" width="8.5703125" style="440" customWidth="1"/>
    <col min="12547" max="12547" width="10.28515625" style="440" customWidth="1"/>
    <col min="12548" max="12548" width="8.5703125" style="440" customWidth="1"/>
    <col min="12549" max="12549" width="10.28515625" style="440" customWidth="1"/>
    <col min="12550" max="12550" width="8.5703125" style="440" customWidth="1"/>
    <col min="12551" max="12551" width="10.28515625" style="440" customWidth="1"/>
    <col min="12552" max="12552" width="6.85546875" style="440" customWidth="1"/>
    <col min="12553" max="12553" width="10.28515625" style="440" customWidth="1"/>
    <col min="12554" max="12554" width="8.5703125" style="440" customWidth="1"/>
    <col min="12555" max="12555" width="10.28515625" style="440" customWidth="1"/>
    <col min="12556" max="12556" width="8.5703125" style="440" customWidth="1"/>
    <col min="12557" max="12557" width="10.28515625" style="440" customWidth="1"/>
    <col min="12558" max="12558" width="8.5703125" style="440" customWidth="1"/>
    <col min="12559" max="12559" width="10.28515625" style="440" customWidth="1"/>
    <col min="12560" max="12560" width="8.5703125" style="440" customWidth="1"/>
    <col min="12561" max="12561" width="10.28515625" style="440" customWidth="1"/>
    <col min="12562" max="12562" width="1.7109375" style="440" customWidth="1"/>
    <col min="12563" max="12799" width="9.140625" style="440"/>
    <col min="12800" max="12800" width="5.140625" style="440" customWidth="1"/>
    <col min="12801" max="12801" width="13.7109375" style="440" customWidth="1"/>
    <col min="12802" max="12802" width="8.5703125" style="440" customWidth="1"/>
    <col min="12803" max="12803" width="10.28515625" style="440" customWidth="1"/>
    <col min="12804" max="12804" width="8.5703125" style="440" customWidth="1"/>
    <col min="12805" max="12805" width="10.28515625" style="440" customWidth="1"/>
    <col min="12806" max="12806" width="8.5703125" style="440" customWidth="1"/>
    <col min="12807" max="12807" width="10.28515625" style="440" customWidth="1"/>
    <col min="12808" max="12808" width="6.85546875" style="440" customWidth="1"/>
    <col min="12809" max="12809" width="10.28515625" style="440" customWidth="1"/>
    <col min="12810" max="12810" width="8.5703125" style="440" customWidth="1"/>
    <col min="12811" max="12811" width="10.28515625" style="440" customWidth="1"/>
    <col min="12812" max="12812" width="8.5703125" style="440" customWidth="1"/>
    <col min="12813" max="12813" width="10.28515625" style="440" customWidth="1"/>
    <col min="12814" max="12814" width="8.5703125" style="440" customWidth="1"/>
    <col min="12815" max="12815" width="10.28515625" style="440" customWidth="1"/>
    <col min="12816" max="12816" width="8.5703125" style="440" customWidth="1"/>
    <col min="12817" max="12817" width="10.28515625" style="440" customWidth="1"/>
    <col min="12818" max="12818" width="1.7109375" style="440" customWidth="1"/>
    <col min="12819" max="13055" width="9.140625" style="440"/>
    <col min="13056" max="13056" width="5.140625" style="440" customWidth="1"/>
    <col min="13057" max="13057" width="13.7109375" style="440" customWidth="1"/>
    <col min="13058" max="13058" width="8.5703125" style="440" customWidth="1"/>
    <col min="13059" max="13059" width="10.28515625" style="440" customWidth="1"/>
    <col min="13060" max="13060" width="8.5703125" style="440" customWidth="1"/>
    <col min="13061" max="13061" width="10.28515625" style="440" customWidth="1"/>
    <col min="13062" max="13062" width="8.5703125" style="440" customWidth="1"/>
    <col min="13063" max="13063" width="10.28515625" style="440" customWidth="1"/>
    <col min="13064" max="13064" width="6.85546875" style="440" customWidth="1"/>
    <col min="13065" max="13065" width="10.28515625" style="440" customWidth="1"/>
    <col min="13066" max="13066" width="8.5703125" style="440" customWidth="1"/>
    <col min="13067" max="13067" width="10.28515625" style="440" customWidth="1"/>
    <col min="13068" max="13068" width="8.5703125" style="440" customWidth="1"/>
    <col min="13069" max="13069" width="10.28515625" style="440" customWidth="1"/>
    <col min="13070" max="13070" width="8.5703125" style="440" customWidth="1"/>
    <col min="13071" max="13071" width="10.28515625" style="440" customWidth="1"/>
    <col min="13072" max="13072" width="8.5703125" style="440" customWidth="1"/>
    <col min="13073" max="13073" width="10.28515625" style="440" customWidth="1"/>
    <col min="13074" max="13074" width="1.7109375" style="440" customWidth="1"/>
    <col min="13075" max="13311" width="9.140625" style="440"/>
    <col min="13312" max="13312" width="5.140625" style="440" customWidth="1"/>
    <col min="13313" max="13313" width="13.7109375" style="440" customWidth="1"/>
    <col min="13314" max="13314" width="8.5703125" style="440" customWidth="1"/>
    <col min="13315" max="13315" width="10.28515625" style="440" customWidth="1"/>
    <col min="13316" max="13316" width="8.5703125" style="440" customWidth="1"/>
    <col min="13317" max="13317" width="10.28515625" style="440" customWidth="1"/>
    <col min="13318" max="13318" width="8.5703125" style="440" customWidth="1"/>
    <col min="13319" max="13319" width="10.28515625" style="440" customWidth="1"/>
    <col min="13320" max="13320" width="6.85546875" style="440" customWidth="1"/>
    <col min="13321" max="13321" width="10.28515625" style="440" customWidth="1"/>
    <col min="13322" max="13322" width="8.5703125" style="440" customWidth="1"/>
    <col min="13323" max="13323" width="10.28515625" style="440" customWidth="1"/>
    <col min="13324" max="13324" width="8.5703125" style="440" customWidth="1"/>
    <col min="13325" max="13325" width="10.28515625" style="440" customWidth="1"/>
    <col min="13326" max="13326" width="8.5703125" style="440" customWidth="1"/>
    <col min="13327" max="13327" width="10.28515625" style="440" customWidth="1"/>
    <col min="13328" max="13328" width="8.5703125" style="440" customWidth="1"/>
    <col min="13329" max="13329" width="10.28515625" style="440" customWidth="1"/>
    <col min="13330" max="13330" width="1.7109375" style="440" customWidth="1"/>
    <col min="13331" max="13567" width="9.140625" style="440"/>
    <col min="13568" max="13568" width="5.140625" style="440" customWidth="1"/>
    <col min="13569" max="13569" width="13.7109375" style="440" customWidth="1"/>
    <col min="13570" max="13570" width="8.5703125" style="440" customWidth="1"/>
    <col min="13571" max="13571" width="10.28515625" style="440" customWidth="1"/>
    <col min="13572" max="13572" width="8.5703125" style="440" customWidth="1"/>
    <col min="13573" max="13573" width="10.28515625" style="440" customWidth="1"/>
    <col min="13574" max="13574" width="8.5703125" style="440" customWidth="1"/>
    <col min="13575" max="13575" width="10.28515625" style="440" customWidth="1"/>
    <col min="13576" max="13576" width="6.85546875" style="440" customWidth="1"/>
    <col min="13577" max="13577" width="10.28515625" style="440" customWidth="1"/>
    <col min="13578" max="13578" width="8.5703125" style="440" customWidth="1"/>
    <col min="13579" max="13579" width="10.28515625" style="440" customWidth="1"/>
    <col min="13580" max="13580" width="8.5703125" style="440" customWidth="1"/>
    <col min="13581" max="13581" width="10.28515625" style="440" customWidth="1"/>
    <col min="13582" max="13582" width="8.5703125" style="440" customWidth="1"/>
    <col min="13583" max="13583" width="10.28515625" style="440" customWidth="1"/>
    <col min="13584" max="13584" width="8.5703125" style="440" customWidth="1"/>
    <col min="13585" max="13585" width="10.28515625" style="440" customWidth="1"/>
    <col min="13586" max="13586" width="1.7109375" style="440" customWidth="1"/>
    <col min="13587" max="13823" width="9.140625" style="440"/>
    <col min="13824" max="13824" width="5.140625" style="440" customWidth="1"/>
    <col min="13825" max="13825" width="13.7109375" style="440" customWidth="1"/>
    <col min="13826" max="13826" width="8.5703125" style="440" customWidth="1"/>
    <col min="13827" max="13827" width="10.28515625" style="440" customWidth="1"/>
    <col min="13828" max="13828" width="8.5703125" style="440" customWidth="1"/>
    <col min="13829" max="13829" width="10.28515625" style="440" customWidth="1"/>
    <col min="13830" max="13830" width="8.5703125" style="440" customWidth="1"/>
    <col min="13831" max="13831" width="10.28515625" style="440" customWidth="1"/>
    <col min="13832" max="13832" width="6.85546875" style="440" customWidth="1"/>
    <col min="13833" max="13833" width="10.28515625" style="440" customWidth="1"/>
    <col min="13834" max="13834" width="8.5703125" style="440" customWidth="1"/>
    <col min="13835" max="13835" width="10.28515625" style="440" customWidth="1"/>
    <col min="13836" max="13836" width="8.5703125" style="440" customWidth="1"/>
    <col min="13837" max="13837" width="10.28515625" style="440" customWidth="1"/>
    <col min="13838" max="13838" width="8.5703125" style="440" customWidth="1"/>
    <col min="13839" max="13839" width="10.28515625" style="440" customWidth="1"/>
    <col min="13840" max="13840" width="8.5703125" style="440" customWidth="1"/>
    <col min="13841" max="13841" width="10.28515625" style="440" customWidth="1"/>
    <col min="13842" max="13842" width="1.7109375" style="440" customWidth="1"/>
    <col min="13843" max="14079" width="9.140625" style="440"/>
    <col min="14080" max="14080" width="5.140625" style="440" customWidth="1"/>
    <col min="14081" max="14081" width="13.7109375" style="440" customWidth="1"/>
    <col min="14082" max="14082" width="8.5703125" style="440" customWidth="1"/>
    <col min="14083" max="14083" width="10.28515625" style="440" customWidth="1"/>
    <col min="14084" max="14084" width="8.5703125" style="440" customWidth="1"/>
    <col min="14085" max="14085" width="10.28515625" style="440" customWidth="1"/>
    <col min="14086" max="14086" width="8.5703125" style="440" customWidth="1"/>
    <col min="14087" max="14087" width="10.28515625" style="440" customWidth="1"/>
    <col min="14088" max="14088" width="6.85546875" style="440" customWidth="1"/>
    <col min="14089" max="14089" width="10.28515625" style="440" customWidth="1"/>
    <col min="14090" max="14090" width="8.5703125" style="440" customWidth="1"/>
    <col min="14091" max="14091" width="10.28515625" style="440" customWidth="1"/>
    <col min="14092" max="14092" width="8.5703125" style="440" customWidth="1"/>
    <col min="14093" max="14093" width="10.28515625" style="440" customWidth="1"/>
    <col min="14094" max="14094" width="8.5703125" style="440" customWidth="1"/>
    <col min="14095" max="14095" width="10.28515625" style="440" customWidth="1"/>
    <col min="14096" max="14096" width="8.5703125" style="440" customWidth="1"/>
    <col min="14097" max="14097" width="10.28515625" style="440" customWidth="1"/>
    <col min="14098" max="14098" width="1.7109375" style="440" customWidth="1"/>
    <col min="14099" max="14335" width="9.140625" style="440"/>
    <col min="14336" max="14336" width="5.140625" style="440" customWidth="1"/>
    <col min="14337" max="14337" width="13.7109375" style="440" customWidth="1"/>
    <col min="14338" max="14338" width="8.5703125" style="440" customWidth="1"/>
    <col min="14339" max="14339" width="10.28515625" style="440" customWidth="1"/>
    <col min="14340" max="14340" width="8.5703125" style="440" customWidth="1"/>
    <col min="14341" max="14341" width="10.28515625" style="440" customWidth="1"/>
    <col min="14342" max="14342" width="8.5703125" style="440" customWidth="1"/>
    <col min="14343" max="14343" width="10.28515625" style="440" customWidth="1"/>
    <col min="14344" max="14344" width="6.85546875" style="440" customWidth="1"/>
    <col min="14345" max="14345" width="10.28515625" style="440" customWidth="1"/>
    <col min="14346" max="14346" width="8.5703125" style="440" customWidth="1"/>
    <col min="14347" max="14347" width="10.28515625" style="440" customWidth="1"/>
    <col min="14348" max="14348" width="8.5703125" style="440" customWidth="1"/>
    <col min="14349" max="14349" width="10.28515625" style="440" customWidth="1"/>
    <col min="14350" max="14350" width="8.5703125" style="440" customWidth="1"/>
    <col min="14351" max="14351" width="10.28515625" style="440" customWidth="1"/>
    <col min="14352" max="14352" width="8.5703125" style="440" customWidth="1"/>
    <col min="14353" max="14353" width="10.28515625" style="440" customWidth="1"/>
    <col min="14354" max="14354" width="1.7109375" style="440" customWidth="1"/>
    <col min="14355" max="14591" width="9.140625" style="440"/>
    <col min="14592" max="14592" width="5.140625" style="440" customWidth="1"/>
    <col min="14593" max="14593" width="13.7109375" style="440" customWidth="1"/>
    <col min="14594" max="14594" width="8.5703125" style="440" customWidth="1"/>
    <col min="14595" max="14595" width="10.28515625" style="440" customWidth="1"/>
    <col min="14596" max="14596" width="8.5703125" style="440" customWidth="1"/>
    <col min="14597" max="14597" width="10.28515625" style="440" customWidth="1"/>
    <col min="14598" max="14598" width="8.5703125" style="440" customWidth="1"/>
    <col min="14599" max="14599" width="10.28515625" style="440" customWidth="1"/>
    <col min="14600" max="14600" width="6.85546875" style="440" customWidth="1"/>
    <col min="14601" max="14601" width="10.28515625" style="440" customWidth="1"/>
    <col min="14602" max="14602" width="8.5703125" style="440" customWidth="1"/>
    <col min="14603" max="14603" width="10.28515625" style="440" customWidth="1"/>
    <col min="14604" max="14604" width="8.5703125" style="440" customWidth="1"/>
    <col min="14605" max="14605" width="10.28515625" style="440" customWidth="1"/>
    <col min="14606" max="14606" width="8.5703125" style="440" customWidth="1"/>
    <col min="14607" max="14607" width="10.28515625" style="440" customWidth="1"/>
    <col min="14608" max="14608" width="8.5703125" style="440" customWidth="1"/>
    <col min="14609" max="14609" width="10.28515625" style="440" customWidth="1"/>
    <col min="14610" max="14610" width="1.7109375" style="440" customWidth="1"/>
    <col min="14611" max="14847" width="9.140625" style="440"/>
    <col min="14848" max="14848" width="5.140625" style="440" customWidth="1"/>
    <col min="14849" max="14849" width="13.7109375" style="440" customWidth="1"/>
    <col min="14850" max="14850" width="8.5703125" style="440" customWidth="1"/>
    <col min="14851" max="14851" width="10.28515625" style="440" customWidth="1"/>
    <col min="14852" max="14852" width="8.5703125" style="440" customWidth="1"/>
    <col min="14853" max="14853" width="10.28515625" style="440" customWidth="1"/>
    <col min="14854" max="14854" width="8.5703125" style="440" customWidth="1"/>
    <col min="14855" max="14855" width="10.28515625" style="440" customWidth="1"/>
    <col min="14856" max="14856" width="6.85546875" style="440" customWidth="1"/>
    <col min="14857" max="14857" width="10.28515625" style="440" customWidth="1"/>
    <col min="14858" max="14858" width="8.5703125" style="440" customWidth="1"/>
    <col min="14859" max="14859" width="10.28515625" style="440" customWidth="1"/>
    <col min="14860" max="14860" width="8.5703125" style="440" customWidth="1"/>
    <col min="14861" max="14861" width="10.28515625" style="440" customWidth="1"/>
    <col min="14862" max="14862" width="8.5703125" style="440" customWidth="1"/>
    <col min="14863" max="14863" width="10.28515625" style="440" customWidth="1"/>
    <col min="14864" max="14864" width="8.5703125" style="440" customWidth="1"/>
    <col min="14865" max="14865" width="10.28515625" style="440" customWidth="1"/>
    <col min="14866" max="14866" width="1.7109375" style="440" customWidth="1"/>
    <col min="14867" max="15103" width="9.140625" style="440"/>
    <col min="15104" max="15104" width="5.140625" style="440" customWidth="1"/>
    <col min="15105" max="15105" width="13.7109375" style="440" customWidth="1"/>
    <col min="15106" max="15106" width="8.5703125" style="440" customWidth="1"/>
    <col min="15107" max="15107" width="10.28515625" style="440" customWidth="1"/>
    <col min="15108" max="15108" width="8.5703125" style="440" customWidth="1"/>
    <col min="15109" max="15109" width="10.28515625" style="440" customWidth="1"/>
    <col min="15110" max="15110" width="8.5703125" style="440" customWidth="1"/>
    <col min="15111" max="15111" width="10.28515625" style="440" customWidth="1"/>
    <col min="15112" max="15112" width="6.85546875" style="440" customWidth="1"/>
    <col min="15113" max="15113" width="10.28515625" style="440" customWidth="1"/>
    <col min="15114" max="15114" width="8.5703125" style="440" customWidth="1"/>
    <col min="15115" max="15115" width="10.28515625" style="440" customWidth="1"/>
    <col min="15116" max="15116" width="8.5703125" style="440" customWidth="1"/>
    <col min="15117" max="15117" width="10.28515625" style="440" customWidth="1"/>
    <col min="15118" max="15118" width="8.5703125" style="440" customWidth="1"/>
    <col min="15119" max="15119" width="10.28515625" style="440" customWidth="1"/>
    <col min="15120" max="15120" width="8.5703125" style="440" customWidth="1"/>
    <col min="15121" max="15121" width="10.28515625" style="440" customWidth="1"/>
    <col min="15122" max="15122" width="1.7109375" style="440" customWidth="1"/>
    <col min="15123" max="15359" width="9.140625" style="440"/>
    <col min="15360" max="15360" width="5.140625" style="440" customWidth="1"/>
    <col min="15361" max="15361" width="13.7109375" style="440" customWidth="1"/>
    <col min="15362" max="15362" width="8.5703125" style="440" customWidth="1"/>
    <col min="15363" max="15363" width="10.28515625" style="440" customWidth="1"/>
    <col min="15364" max="15364" width="8.5703125" style="440" customWidth="1"/>
    <col min="15365" max="15365" width="10.28515625" style="440" customWidth="1"/>
    <col min="15366" max="15366" width="8.5703125" style="440" customWidth="1"/>
    <col min="15367" max="15367" width="10.28515625" style="440" customWidth="1"/>
    <col min="15368" max="15368" width="6.85546875" style="440" customWidth="1"/>
    <col min="15369" max="15369" width="10.28515625" style="440" customWidth="1"/>
    <col min="15370" max="15370" width="8.5703125" style="440" customWidth="1"/>
    <col min="15371" max="15371" width="10.28515625" style="440" customWidth="1"/>
    <col min="15372" max="15372" width="8.5703125" style="440" customWidth="1"/>
    <col min="15373" max="15373" width="10.28515625" style="440" customWidth="1"/>
    <col min="15374" max="15374" width="8.5703125" style="440" customWidth="1"/>
    <col min="15375" max="15375" width="10.28515625" style="440" customWidth="1"/>
    <col min="15376" max="15376" width="8.5703125" style="440" customWidth="1"/>
    <col min="15377" max="15377" width="10.28515625" style="440" customWidth="1"/>
    <col min="15378" max="15378" width="1.7109375" style="440" customWidth="1"/>
    <col min="15379" max="15615" width="9.140625" style="440"/>
    <col min="15616" max="15616" width="5.140625" style="440" customWidth="1"/>
    <col min="15617" max="15617" width="13.7109375" style="440" customWidth="1"/>
    <col min="15618" max="15618" width="8.5703125" style="440" customWidth="1"/>
    <col min="15619" max="15619" width="10.28515625" style="440" customWidth="1"/>
    <col min="15620" max="15620" width="8.5703125" style="440" customWidth="1"/>
    <col min="15621" max="15621" width="10.28515625" style="440" customWidth="1"/>
    <col min="15622" max="15622" width="8.5703125" style="440" customWidth="1"/>
    <col min="15623" max="15623" width="10.28515625" style="440" customWidth="1"/>
    <col min="15624" max="15624" width="6.85546875" style="440" customWidth="1"/>
    <col min="15625" max="15625" width="10.28515625" style="440" customWidth="1"/>
    <col min="15626" max="15626" width="8.5703125" style="440" customWidth="1"/>
    <col min="15627" max="15627" width="10.28515625" style="440" customWidth="1"/>
    <col min="15628" max="15628" width="8.5703125" style="440" customWidth="1"/>
    <col min="15629" max="15629" width="10.28515625" style="440" customWidth="1"/>
    <col min="15630" max="15630" width="8.5703125" style="440" customWidth="1"/>
    <col min="15631" max="15631" width="10.28515625" style="440" customWidth="1"/>
    <col min="15632" max="15632" width="8.5703125" style="440" customWidth="1"/>
    <col min="15633" max="15633" width="10.28515625" style="440" customWidth="1"/>
    <col min="15634" max="15634" width="1.7109375" style="440" customWidth="1"/>
    <col min="15635" max="15871" width="9.140625" style="440"/>
    <col min="15872" max="15872" width="5.140625" style="440" customWidth="1"/>
    <col min="15873" max="15873" width="13.7109375" style="440" customWidth="1"/>
    <col min="15874" max="15874" width="8.5703125" style="440" customWidth="1"/>
    <col min="15875" max="15875" width="10.28515625" style="440" customWidth="1"/>
    <col min="15876" max="15876" width="8.5703125" style="440" customWidth="1"/>
    <col min="15877" max="15877" width="10.28515625" style="440" customWidth="1"/>
    <col min="15878" max="15878" width="8.5703125" style="440" customWidth="1"/>
    <col min="15879" max="15879" width="10.28515625" style="440" customWidth="1"/>
    <col min="15880" max="15880" width="6.85546875" style="440" customWidth="1"/>
    <col min="15881" max="15881" width="10.28515625" style="440" customWidth="1"/>
    <col min="15882" max="15882" width="8.5703125" style="440" customWidth="1"/>
    <col min="15883" max="15883" width="10.28515625" style="440" customWidth="1"/>
    <col min="15884" max="15884" width="8.5703125" style="440" customWidth="1"/>
    <col min="15885" max="15885" width="10.28515625" style="440" customWidth="1"/>
    <col min="15886" max="15886" width="8.5703125" style="440" customWidth="1"/>
    <col min="15887" max="15887" width="10.28515625" style="440" customWidth="1"/>
    <col min="15888" max="15888" width="8.5703125" style="440" customWidth="1"/>
    <col min="15889" max="15889" width="10.28515625" style="440" customWidth="1"/>
    <col min="15890" max="15890" width="1.7109375" style="440" customWidth="1"/>
    <col min="15891" max="16127" width="9.140625" style="440"/>
    <col min="16128" max="16128" width="5.140625" style="440" customWidth="1"/>
    <col min="16129" max="16129" width="13.7109375" style="440" customWidth="1"/>
    <col min="16130" max="16130" width="8.5703125" style="440" customWidth="1"/>
    <col min="16131" max="16131" width="10.28515625" style="440" customWidth="1"/>
    <col min="16132" max="16132" width="8.5703125" style="440" customWidth="1"/>
    <col min="16133" max="16133" width="10.28515625" style="440" customWidth="1"/>
    <col min="16134" max="16134" width="8.5703125" style="440" customWidth="1"/>
    <col min="16135" max="16135" width="10.28515625" style="440" customWidth="1"/>
    <col min="16136" max="16136" width="6.85546875" style="440" customWidth="1"/>
    <col min="16137" max="16137" width="10.28515625" style="440" customWidth="1"/>
    <col min="16138" max="16138" width="8.5703125" style="440" customWidth="1"/>
    <col min="16139" max="16139" width="10.28515625" style="440" customWidth="1"/>
    <col min="16140" max="16140" width="8.5703125" style="440" customWidth="1"/>
    <col min="16141" max="16141" width="10.28515625" style="440" customWidth="1"/>
    <col min="16142" max="16142" width="8.5703125" style="440" customWidth="1"/>
    <col min="16143" max="16143" width="10.28515625" style="440" customWidth="1"/>
    <col min="16144" max="16144" width="8.5703125" style="440" customWidth="1"/>
    <col min="16145" max="16145" width="10.28515625" style="440" customWidth="1"/>
    <col min="16146" max="16146" width="1.7109375" style="440" customWidth="1"/>
    <col min="16147" max="16384" width="9.140625" style="440"/>
  </cols>
  <sheetData>
    <row r="1" spans="1:18" s="441" customFormat="1" ht="24.95" customHeight="1" x14ac:dyDescent="0.2">
      <c r="A1" s="595" t="s">
        <v>379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</row>
    <row r="2" spans="1:18" ht="7.7" customHeight="1" x14ac:dyDescent="0.2"/>
    <row r="3" spans="1:18" ht="18" customHeight="1" x14ac:dyDescent="0.2">
      <c r="A3" s="597" t="s">
        <v>380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1:18" ht="9" customHeight="1" x14ac:dyDescent="0.2"/>
    <row r="5" spans="1:18" ht="13.9" customHeight="1" x14ac:dyDescent="0.2">
      <c r="A5" s="443"/>
      <c r="B5" s="444"/>
      <c r="C5" s="599" t="s">
        <v>579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</row>
    <row r="6" spans="1:18" ht="31.35" customHeight="1" x14ac:dyDescent="0.2">
      <c r="A6" s="443" t="s">
        <v>381</v>
      </c>
      <c r="B6" s="445" t="s">
        <v>382</v>
      </c>
      <c r="C6" s="593" t="s">
        <v>383</v>
      </c>
      <c r="D6" s="594"/>
      <c r="E6" s="593" t="s">
        <v>384</v>
      </c>
      <c r="F6" s="594"/>
      <c r="G6" s="593" t="s">
        <v>385</v>
      </c>
      <c r="H6" s="594"/>
      <c r="I6" s="593" t="s">
        <v>386</v>
      </c>
      <c r="J6" s="594"/>
      <c r="K6" s="593" t="s">
        <v>387</v>
      </c>
      <c r="L6" s="594"/>
      <c r="M6" s="593" t="s">
        <v>388</v>
      </c>
      <c r="N6" s="594"/>
      <c r="O6" s="593" t="s">
        <v>389</v>
      </c>
      <c r="P6" s="594"/>
      <c r="Q6" s="593" t="s">
        <v>390</v>
      </c>
      <c r="R6" s="594"/>
    </row>
    <row r="7" spans="1:18" x14ac:dyDescent="0.2">
      <c r="A7" s="443"/>
      <c r="B7" s="445"/>
      <c r="C7" s="444" t="s">
        <v>30</v>
      </c>
      <c r="D7" s="444" t="s">
        <v>99</v>
      </c>
      <c r="E7" s="444" t="s">
        <v>30</v>
      </c>
      <c r="F7" s="444" t="s">
        <v>99</v>
      </c>
      <c r="G7" s="444" t="s">
        <v>30</v>
      </c>
      <c r="H7" s="444" t="s">
        <v>99</v>
      </c>
      <c r="I7" s="444" t="s">
        <v>30</v>
      </c>
      <c r="J7" s="444" t="s">
        <v>99</v>
      </c>
      <c r="K7" s="444" t="s">
        <v>30</v>
      </c>
      <c r="L7" s="444" t="s">
        <v>99</v>
      </c>
      <c r="M7" s="444" t="s">
        <v>30</v>
      </c>
      <c r="N7" s="444" t="s">
        <v>99</v>
      </c>
      <c r="O7" s="444" t="s">
        <v>30</v>
      </c>
      <c r="P7" s="444" t="s">
        <v>99</v>
      </c>
      <c r="Q7" s="444" t="s">
        <v>30</v>
      </c>
      <c r="R7" s="444" t="s">
        <v>99</v>
      </c>
    </row>
    <row r="8" spans="1:18" x14ac:dyDescent="0.2">
      <c r="A8" s="443" t="s">
        <v>391</v>
      </c>
      <c r="B8" s="443" t="s">
        <v>392</v>
      </c>
      <c r="C8" s="443" t="s">
        <v>393</v>
      </c>
      <c r="D8" s="443" t="s">
        <v>394</v>
      </c>
      <c r="E8" s="443" t="s">
        <v>395</v>
      </c>
      <c r="F8" s="443" t="s">
        <v>396</v>
      </c>
      <c r="G8" s="443" t="s">
        <v>397</v>
      </c>
      <c r="H8" s="443" t="s">
        <v>398</v>
      </c>
      <c r="I8" s="443" t="s">
        <v>399</v>
      </c>
      <c r="J8" s="443" t="s">
        <v>400</v>
      </c>
      <c r="K8" s="443" t="s">
        <v>401</v>
      </c>
      <c r="L8" s="443" t="s">
        <v>402</v>
      </c>
      <c r="M8" s="443" t="s">
        <v>403</v>
      </c>
      <c r="N8" s="443" t="s">
        <v>404</v>
      </c>
      <c r="O8" s="443" t="s">
        <v>405</v>
      </c>
      <c r="P8" s="443" t="s">
        <v>406</v>
      </c>
      <c r="Q8" s="443" t="s">
        <v>407</v>
      </c>
      <c r="R8" s="443" t="s">
        <v>408</v>
      </c>
    </row>
    <row r="9" spans="1:18" x14ac:dyDescent="0.2">
      <c r="A9" s="446">
        <v>1</v>
      </c>
      <c r="B9" s="447" t="s">
        <v>409</v>
      </c>
      <c r="C9" s="447">
        <v>4113</v>
      </c>
      <c r="D9" s="447">
        <v>365537855</v>
      </c>
      <c r="E9" s="447">
        <v>4084</v>
      </c>
      <c r="F9" s="447">
        <v>361374686</v>
      </c>
      <c r="G9" s="447">
        <v>3419</v>
      </c>
      <c r="H9" s="447">
        <v>294979571</v>
      </c>
      <c r="I9" s="447">
        <v>1</v>
      </c>
      <c r="J9" s="447">
        <v>62949</v>
      </c>
      <c r="K9" s="447">
        <v>998</v>
      </c>
      <c r="L9" s="447">
        <v>93006934</v>
      </c>
      <c r="M9" s="447">
        <v>116</v>
      </c>
      <c r="N9" s="447">
        <v>8274619</v>
      </c>
      <c r="O9" s="447">
        <v>1</v>
      </c>
      <c r="P9" s="447">
        <v>76000</v>
      </c>
      <c r="Q9" s="447">
        <v>997</v>
      </c>
      <c r="R9" s="447">
        <v>84732315</v>
      </c>
    </row>
    <row r="10" spans="1:18" x14ac:dyDescent="0.2">
      <c r="A10" s="446">
        <v>2</v>
      </c>
      <c r="B10" s="447" t="s">
        <v>410</v>
      </c>
      <c r="C10" s="447">
        <v>1366</v>
      </c>
      <c r="D10" s="447">
        <v>106920858</v>
      </c>
      <c r="E10" s="447">
        <v>1268</v>
      </c>
      <c r="F10" s="447">
        <v>97345352</v>
      </c>
      <c r="G10" s="447">
        <v>815</v>
      </c>
      <c r="H10" s="447">
        <v>75980955</v>
      </c>
      <c r="I10" s="447">
        <v>0</v>
      </c>
      <c r="J10" s="447">
        <v>0</v>
      </c>
      <c r="K10" s="447">
        <v>757</v>
      </c>
      <c r="L10" s="447">
        <v>71447445</v>
      </c>
      <c r="M10" s="447">
        <v>1</v>
      </c>
      <c r="N10" s="447">
        <v>166401</v>
      </c>
      <c r="O10" s="447">
        <v>0</v>
      </c>
      <c r="P10" s="447">
        <v>0</v>
      </c>
      <c r="Q10" s="447">
        <v>757</v>
      </c>
      <c r="R10" s="447">
        <v>71281044</v>
      </c>
    </row>
    <row r="11" spans="1:18" x14ac:dyDescent="0.2">
      <c r="A11" s="446">
        <v>3</v>
      </c>
      <c r="B11" s="447" t="s">
        <v>411</v>
      </c>
      <c r="C11" s="447">
        <v>3015</v>
      </c>
      <c r="D11" s="447">
        <v>312869103</v>
      </c>
      <c r="E11" s="447">
        <v>2559</v>
      </c>
      <c r="F11" s="447">
        <v>272937281</v>
      </c>
      <c r="G11" s="447">
        <v>1826</v>
      </c>
      <c r="H11" s="447">
        <v>203832553</v>
      </c>
      <c r="I11" s="447">
        <v>155</v>
      </c>
      <c r="J11" s="447">
        <v>13526963</v>
      </c>
      <c r="K11" s="447">
        <v>1097</v>
      </c>
      <c r="L11" s="447">
        <v>114115661</v>
      </c>
      <c r="M11" s="447">
        <v>0</v>
      </c>
      <c r="N11" s="447">
        <v>0</v>
      </c>
      <c r="O11" s="447">
        <v>0</v>
      </c>
      <c r="P11" s="447">
        <v>0</v>
      </c>
      <c r="Q11" s="447">
        <v>1097</v>
      </c>
      <c r="R11" s="447">
        <v>114115661</v>
      </c>
    </row>
    <row r="12" spans="1:18" x14ac:dyDescent="0.2">
      <c r="A12" s="446">
        <v>4</v>
      </c>
      <c r="B12" s="447" t="s">
        <v>412</v>
      </c>
      <c r="C12" s="447">
        <v>12934</v>
      </c>
      <c r="D12" s="447">
        <v>1941637761</v>
      </c>
      <c r="E12" s="447">
        <v>12567</v>
      </c>
      <c r="F12" s="447">
        <v>1866890872</v>
      </c>
      <c r="G12" s="447">
        <v>12481</v>
      </c>
      <c r="H12" s="447">
        <v>1847999706</v>
      </c>
      <c r="I12" s="447">
        <v>0</v>
      </c>
      <c r="J12" s="447">
        <v>0</v>
      </c>
      <c r="K12" s="447">
        <v>11520</v>
      </c>
      <c r="L12" s="447">
        <v>1709459622</v>
      </c>
      <c r="M12" s="447">
        <v>11</v>
      </c>
      <c r="N12" s="447">
        <v>980400</v>
      </c>
      <c r="O12" s="447">
        <v>0</v>
      </c>
      <c r="P12" s="447">
        <v>0</v>
      </c>
      <c r="Q12" s="447">
        <v>11520</v>
      </c>
      <c r="R12" s="447">
        <v>1708479222</v>
      </c>
    </row>
    <row r="13" spans="1:18" x14ac:dyDescent="0.2">
      <c r="A13" s="446">
        <v>5</v>
      </c>
      <c r="B13" s="447" t="s">
        <v>413</v>
      </c>
      <c r="C13" s="447">
        <v>6495</v>
      </c>
      <c r="D13" s="447">
        <v>548652006</v>
      </c>
      <c r="E13" s="447">
        <v>6024</v>
      </c>
      <c r="F13" s="447">
        <v>487424008</v>
      </c>
      <c r="G13" s="447">
        <v>5978</v>
      </c>
      <c r="H13" s="447">
        <v>480891620</v>
      </c>
      <c r="I13" s="447">
        <v>1</v>
      </c>
      <c r="J13" s="447">
        <v>56744</v>
      </c>
      <c r="K13" s="447">
        <v>4665</v>
      </c>
      <c r="L13" s="447">
        <v>361514722</v>
      </c>
      <c r="M13" s="447">
        <v>48</v>
      </c>
      <c r="N13" s="447">
        <v>1376776</v>
      </c>
      <c r="O13" s="447">
        <v>93</v>
      </c>
      <c r="P13" s="447">
        <v>0</v>
      </c>
      <c r="Q13" s="447">
        <v>4572</v>
      </c>
      <c r="R13" s="447">
        <v>360137946</v>
      </c>
    </row>
    <row r="14" spans="1:18" x14ac:dyDescent="0.2">
      <c r="A14" s="446">
        <v>6</v>
      </c>
      <c r="B14" s="447" t="s">
        <v>414</v>
      </c>
      <c r="C14" s="447">
        <v>6001</v>
      </c>
      <c r="D14" s="447">
        <v>843160442</v>
      </c>
      <c r="E14" s="447">
        <v>5436</v>
      </c>
      <c r="F14" s="447">
        <v>704590151</v>
      </c>
      <c r="G14" s="447">
        <v>4787</v>
      </c>
      <c r="H14" s="447">
        <v>548434119</v>
      </c>
      <c r="I14" s="447">
        <v>85</v>
      </c>
      <c r="J14" s="447">
        <v>42209854</v>
      </c>
      <c r="K14" s="447">
        <v>3785</v>
      </c>
      <c r="L14" s="447">
        <v>482972227</v>
      </c>
      <c r="M14" s="447">
        <v>36</v>
      </c>
      <c r="N14" s="447">
        <v>3926221</v>
      </c>
      <c r="O14" s="447">
        <v>1</v>
      </c>
      <c r="P14" s="447">
        <v>0</v>
      </c>
      <c r="Q14" s="447">
        <v>3784</v>
      </c>
      <c r="R14" s="447">
        <v>479046006</v>
      </c>
    </row>
    <row r="15" spans="1:18" x14ac:dyDescent="0.2">
      <c r="A15" s="446">
        <v>7</v>
      </c>
      <c r="B15" s="447" t="s">
        <v>415</v>
      </c>
      <c r="C15" s="447">
        <v>9081</v>
      </c>
      <c r="D15" s="447">
        <v>1151773544</v>
      </c>
      <c r="E15" s="447">
        <v>8628</v>
      </c>
      <c r="F15" s="447">
        <v>1065065723</v>
      </c>
      <c r="G15" s="447">
        <v>8621</v>
      </c>
      <c r="H15" s="447">
        <v>1064365467</v>
      </c>
      <c r="I15" s="447">
        <v>0</v>
      </c>
      <c r="J15" s="447">
        <v>0</v>
      </c>
      <c r="K15" s="447">
        <v>8315</v>
      </c>
      <c r="L15" s="447">
        <v>1026536278</v>
      </c>
      <c r="M15" s="447">
        <v>352</v>
      </c>
      <c r="N15" s="447">
        <v>27708256</v>
      </c>
      <c r="O15" s="447">
        <v>62</v>
      </c>
      <c r="P15" s="447">
        <v>139000</v>
      </c>
      <c r="Q15" s="447">
        <v>8253</v>
      </c>
      <c r="R15" s="447">
        <v>998828022</v>
      </c>
    </row>
    <row r="16" spans="1:18" x14ac:dyDescent="0.2">
      <c r="A16" s="446">
        <v>8</v>
      </c>
      <c r="B16" s="447" t="s">
        <v>416</v>
      </c>
      <c r="C16" s="447">
        <v>10419</v>
      </c>
      <c r="D16" s="447">
        <v>1745068693</v>
      </c>
      <c r="E16" s="447">
        <v>9240</v>
      </c>
      <c r="F16" s="447">
        <v>1536023931</v>
      </c>
      <c r="G16" s="447">
        <v>9105</v>
      </c>
      <c r="H16" s="447">
        <v>1523522096</v>
      </c>
      <c r="I16" s="447">
        <v>1</v>
      </c>
      <c r="J16" s="447">
        <v>11342</v>
      </c>
      <c r="K16" s="447">
        <v>8918</v>
      </c>
      <c r="L16" s="447">
        <v>1504254723</v>
      </c>
      <c r="M16" s="447">
        <v>100</v>
      </c>
      <c r="N16" s="447">
        <v>9312560</v>
      </c>
      <c r="O16" s="447">
        <v>0</v>
      </c>
      <c r="P16" s="447">
        <v>0</v>
      </c>
      <c r="Q16" s="447">
        <v>8918</v>
      </c>
      <c r="R16" s="447">
        <v>1494942163</v>
      </c>
    </row>
    <row r="17" spans="1:18" x14ac:dyDescent="0.2">
      <c r="A17" s="446">
        <v>9</v>
      </c>
      <c r="B17" s="447" t="s">
        <v>417</v>
      </c>
      <c r="C17" s="447">
        <v>37051</v>
      </c>
      <c r="D17" s="447">
        <v>5995275814</v>
      </c>
      <c r="E17" s="447">
        <v>28442</v>
      </c>
      <c r="F17" s="447">
        <v>4326913209</v>
      </c>
      <c r="G17" s="447">
        <v>27762</v>
      </c>
      <c r="H17" s="447">
        <v>4139468855</v>
      </c>
      <c r="I17" s="447">
        <v>2</v>
      </c>
      <c r="J17" s="447">
        <v>78081</v>
      </c>
      <c r="K17" s="447">
        <v>13407</v>
      </c>
      <c r="L17" s="447">
        <v>1879530885</v>
      </c>
      <c r="M17" s="447">
        <v>2186</v>
      </c>
      <c r="N17" s="447">
        <v>183946916</v>
      </c>
      <c r="O17" s="447">
        <v>32</v>
      </c>
      <c r="P17" s="447">
        <v>893690</v>
      </c>
      <c r="Q17" s="447">
        <v>13375</v>
      </c>
      <c r="R17" s="447">
        <v>1695583969</v>
      </c>
    </row>
    <row r="18" spans="1:18" x14ac:dyDescent="0.2">
      <c r="A18" s="446">
        <v>10</v>
      </c>
      <c r="B18" s="447" t="s">
        <v>418</v>
      </c>
      <c r="C18" s="447">
        <v>7119</v>
      </c>
      <c r="D18" s="447">
        <v>919632070</v>
      </c>
      <c r="E18" s="447">
        <v>5226</v>
      </c>
      <c r="F18" s="447">
        <v>649061218</v>
      </c>
      <c r="G18" s="447">
        <v>4183</v>
      </c>
      <c r="H18" s="447">
        <v>590395438</v>
      </c>
      <c r="I18" s="447">
        <v>2</v>
      </c>
      <c r="J18" s="447">
        <v>1518574</v>
      </c>
      <c r="K18" s="447">
        <v>3446</v>
      </c>
      <c r="L18" s="447">
        <v>463704936</v>
      </c>
      <c r="M18" s="447">
        <v>106</v>
      </c>
      <c r="N18" s="447">
        <v>11766710</v>
      </c>
      <c r="O18" s="447">
        <v>4</v>
      </c>
      <c r="P18" s="447">
        <v>0</v>
      </c>
      <c r="Q18" s="447">
        <v>3442</v>
      </c>
      <c r="R18" s="447">
        <v>451938226</v>
      </c>
    </row>
    <row r="19" spans="1:18" x14ac:dyDescent="0.2">
      <c r="A19" s="446">
        <v>11</v>
      </c>
      <c r="B19" s="447" t="s">
        <v>419</v>
      </c>
      <c r="C19" s="447">
        <v>14728</v>
      </c>
      <c r="D19" s="447">
        <v>1041493859</v>
      </c>
      <c r="E19" s="447">
        <v>14398</v>
      </c>
      <c r="F19" s="447">
        <v>994394356</v>
      </c>
      <c r="G19" s="447">
        <v>8390</v>
      </c>
      <c r="H19" s="447">
        <v>322091823</v>
      </c>
      <c r="I19" s="447">
        <v>0</v>
      </c>
      <c r="J19" s="447">
        <v>0</v>
      </c>
      <c r="K19" s="447">
        <v>7983</v>
      </c>
      <c r="L19" s="447">
        <v>293694099</v>
      </c>
      <c r="M19" s="447">
        <v>304</v>
      </c>
      <c r="N19" s="447">
        <v>10007856</v>
      </c>
      <c r="O19" s="447">
        <v>6</v>
      </c>
      <c r="P19" s="447">
        <v>3707598</v>
      </c>
      <c r="Q19" s="447">
        <v>7977</v>
      </c>
      <c r="R19" s="447">
        <v>283686243</v>
      </c>
    </row>
    <row r="20" spans="1:18" x14ac:dyDescent="0.2">
      <c r="A20" s="446">
        <v>12</v>
      </c>
      <c r="B20" s="447" t="s">
        <v>420</v>
      </c>
      <c r="C20" s="447">
        <v>13409</v>
      </c>
      <c r="D20" s="447">
        <v>1606672164</v>
      </c>
      <c r="E20" s="447">
        <v>13108</v>
      </c>
      <c r="F20" s="447">
        <v>1545958719</v>
      </c>
      <c r="G20" s="447">
        <v>13105</v>
      </c>
      <c r="H20" s="447">
        <v>1545506054</v>
      </c>
      <c r="I20" s="447">
        <v>0</v>
      </c>
      <c r="J20" s="447">
        <v>0</v>
      </c>
      <c r="K20" s="447">
        <v>7732</v>
      </c>
      <c r="L20" s="447">
        <v>806352829</v>
      </c>
      <c r="M20" s="447">
        <v>285</v>
      </c>
      <c r="N20" s="447">
        <v>26610104</v>
      </c>
      <c r="O20" s="447">
        <v>2</v>
      </c>
      <c r="P20" s="447">
        <v>142000</v>
      </c>
      <c r="Q20" s="447">
        <v>7730</v>
      </c>
      <c r="R20" s="447">
        <v>779742725</v>
      </c>
    </row>
    <row r="21" spans="1:18" x14ac:dyDescent="0.2">
      <c r="A21" s="446">
        <v>13</v>
      </c>
      <c r="B21" s="447" t="s">
        <v>421</v>
      </c>
      <c r="C21" s="447">
        <v>19213</v>
      </c>
      <c r="D21" s="447">
        <v>1418520415</v>
      </c>
      <c r="E21" s="447">
        <v>18387</v>
      </c>
      <c r="F21" s="447">
        <v>1330247432</v>
      </c>
      <c r="G21" s="447">
        <v>18387</v>
      </c>
      <c r="H21" s="447">
        <v>1330247432</v>
      </c>
      <c r="I21" s="447">
        <v>215</v>
      </c>
      <c r="J21" s="447">
        <v>21876042</v>
      </c>
      <c r="K21" s="447">
        <v>5236</v>
      </c>
      <c r="L21" s="447">
        <v>470048207</v>
      </c>
      <c r="M21" s="447">
        <v>409</v>
      </c>
      <c r="N21" s="447">
        <v>16126379</v>
      </c>
      <c r="O21" s="447">
        <v>45</v>
      </c>
      <c r="P21" s="447">
        <v>1307839</v>
      </c>
      <c r="Q21" s="447">
        <v>5191</v>
      </c>
      <c r="R21" s="447">
        <v>453921828</v>
      </c>
    </row>
    <row r="22" spans="1:18" x14ac:dyDescent="0.2">
      <c r="A22" s="446">
        <v>14</v>
      </c>
      <c r="B22" s="447" t="s">
        <v>422</v>
      </c>
      <c r="C22" s="447">
        <v>5386</v>
      </c>
      <c r="D22" s="447">
        <v>727485497</v>
      </c>
      <c r="E22" s="447">
        <v>5140</v>
      </c>
      <c r="F22" s="447">
        <v>653407108</v>
      </c>
      <c r="G22" s="447">
        <v>4783</v>
      </c>
      <c r="H22" s="447">
        <v>596739198</v>
      </c>
      <c r="I22" s="447">
        <v>1</v>
      </c>
      <c r="J22" s="447">
        <v>626360</v>
      </c>
      <c r="K22" s="447">
        <v>4423</v>
      </c>
      <c r="L22" s="447">
        <v>534283173</v>
      </c>
      <c r="M22" s="447">
        <v>654</v>
      </c>
      <c r="N22" s="447">
        <v>68196764</v>
      </c>
      <c r="O22" s="447">
        <v>0</v>
      </c>
      <c r="P22" s="447">
        <v>0</v>
      </c>
      <c r="Q22" s="447">
        <v>4423</v>
      </c>
      <c r="R22" s="447">
        <v>466086409</v>
      </c>
    </row>
    <row r="23" spans="1:18" x14ac:dyDescent="0.2">
      <c r="A23" s="446">
        <v>15</v>
      </c>
      <c r="B23" s="447" t="s">
        <v>423</v>
      </c>
      <c r="C23" s="447">
        <v>19178</v>
      </c>
      <c r="D23" s="447">
        <v>1973368747</v>
      </c>
      <c r="E23" s="447">
        <v>14183</v>
      </c>
      <c r="F23" s="447">
        <v>1412001193</v>
      </c>
      <c r="G23" s="447">
        <v>14099</v>
      </c>
      <c r="H23" s="447">
        <v>1405274971</v>
      </c>
      <c r="I23" s="447">
        <v>0</v>
      </c>
      <c r="J23" s="447">
        <v>0</v>
      </c>
      <c r="K23" s="447">
        <v>14066</v>
      </c>
      <c r="L23" s="447">
        <v>1395748515</v>
      </c>
      <c r="M23" s="447">
        <v>2058</v>
      </c>
      <c r="N23" s="447">
        <v>203153290</v>
      </c>
      <c r="O23" s="447">
        <v>878</v>
      </c>
      <c r="P23" s="447">
        <v>111218696</v>
      </c>
      <c r="Q23" s="447">
        <v>13188</v>
      </c>
      <c r="R23" s="447">
        <v>1192595225</v>
      </c>
    </row>
    <row r="24" spans="1:18" x14ac:dyDescent="0.2">
      <c r="A24" s="446">
        <v>16</v>
      </c>
      <c r="B24" s="447" t="s">
        <v>424</v>
      </c>
      <c r="C24" s="447">
        <v>18646</v>
      </c>
      <c r="D24" s="447">
        <v>1863700849</v>
      </c>
      <c r="E24" s="447">
        <v>17560</v>
      </c>
      <c r="F24" s="447">
        <v>1711928568</v>
      </c>
      <c r="G24" s="447">
        <v>17560</v>
      </c>
      <c r="H24" s="447">
        <v>1711928568</v>
      </c>
      <c r="I24" s="447">
        <v>0</v>
      </c>
      <c r="J24" s="447">
        <v>0</v>
      </c>
      <c r="K24" s="447">
        <v>16844</v>
      </c>
      <c r="L24" s="447">
        <v>1663720783</v>
      </c>
      <c r="M24" s="447">
        <v>2596</v>
      </c>
      <c r="N24" s="447">
        <v>187130402</v>
      </c>
      <c r="O24" s="447">
        <v>199</v>
      </c>
      <c r="P24" s="447">
        <v>12601459</v>
      </c>
      <c r="Q24" s="447">
        <v>16645</v>
      </c>
      <c r="R24" s="447">
        <v>1476590381</v>
      </c>
    </row>
    <row r="25" spans="1:18" x14ac:dyDescent="0.2">
      <c r="A25" s="446">
        <v>17</v>
      </c>
      <c r="B25" s="447" t="s">
        <v>425</v>
      </c>
      <c r="C25" s="447">
        <v>4830</v>
      </c>
      <c r="D25" s="447">
        <v>6919157988</v>
      </c>
      <c r="E25" s="447">
        <v>4731</v>
      </c>
      <c r="F25" s="447">
        <v>6907430852</v>
      </c>
      <c r="G25" s="447">
        <v>4696</v>
      </c>
      <c r="H25" s="447">
        <v>6901596060</v>
      </c>
      <c r="I25" s="447">
        <v>0</v>
      </c>
      <c r="J25" s="447">
        <v>0</v>
      </c>
      <c r="K25" s="447">
        <v>2862</v>
      </c>
      <c r="L25" s="447">
        <v>249087257</v>
      </c>
      <c r="M25" s="447">
        <v>0</v>
      </c>
      <c r="N25" s="447">
        <v>0</v>
      </c>
      <c r="O25" s="447">
        <v>0</v>
      </c>
      <c r="P25" s="447">
        <v>0</v>
      </c>
      <c r="Q25" s="447">
        <v>2862</v>
      </c>
      <c r="R25" s="447">
        <v>249087257</v>
      </c>
    </row>
    <row r="26" spans="1:18" x14ac:dyDescent="0.2">
      <c r="A26" s="446">
        <v>18</v>
      </c>
      <c r="B26" s="447" t="s">
        <v>426</v>
      </c>
      <c r="C26" s="447">
        <v>24488</v>
      </c>
      <c r="D26" s="447">
        <v>3583652990</v>
      </c>
      <c r="E26" s="447">
        <v>23845</v>
      </c>
      <c r="F26" s="447">
        <v>3478593521</v>
      </c>
      <c r="G26" s="447">
        <v>23344</v>
      </c>
      <c r="H26" s="447">
        <v>3406918416</v>
      </c>
      <c r="I26" s="447">
        <v>0</v>
      </c>
      <c r="J26" s="447">
        <v>0</v>
      </c>
      <c r="K26" s="447">
        <v>16808</v>
      </c>
      <c r="L26" s="447">
        <v>3010173195</v>
      </c>
      <c r="M26" s="447">
        <v>970</v>
      </c>
      <c r="N26" s="447">
        <v>72771605</v>
      </c>
      <c r="O26" s="447">
        <v>10</v>
      </c>
      <c r="P26" s="447">
        <v>1000</v>
      </c>
      <c r="Q26" s="447">
        <v>16798</v>
      </c>
      <c r="R26" s="447">
        <v>2937401590</v>
      </c>
    </row>
    <row r="27" spans="1:18" x14ac:dyDescent="0.2">
      <c r="A27" s="446">
        <v>19</v>
      </c>
      <c r="B27" s="447" t="s">
        <v>427</v>
      </c>
      <c r="C27" s="447">
        <v>11999</v>
      </c>
      <c r="D27" s="447">
        <v>1924678367</v>
      </c>
      <c r="E27" s="447">
        <v>11729</v>
      </c>
      <c r="F27" s="447">
        <v>1839855608</v>
      </c>
      <c r="G27" s="447">
        <v>11719</v>
      </c>
      <c r="H27" s="447">
        <v>1833663104</v>
      </c>
      <c r="I27" s="447">
        <v>0</v>
      </c>
      <c r="J27" s="447">
        <v>0</v>
      </c>
      <c r="K27" s="447">
        <v>11055</v>
      </c>
      <c r="L27" s="447">
        <v>1709805896</v>
      </c>
      <c r="M27" s="447">
        <v>454</v>
      </c>
      <c r="N27" s="447">
        <v>76653434</v>
      </c>
      <c r="O27" s="447">
        <v>172</v>
      </c>
      <c r="P27" s="447">
        <v>43106904</v>
      </c>
      <c r="Q27" s="447">
        <v>10883</v>
      </c>
      <c r="R27" s="447">
        <v>1633152462</v>
      </c>
    </row>
    <row r="28" spans="1:18" x14ac:dyDescent="0.2">
      <c r="A28" s="446">
        <v>20</v>
      </c>
      <c r="B28" s="447" t="s">
        <v>428</v>
      </c>
      <c r="C28" s="447">
        <v>2067</v>
      </c>
      <c r="D28" s="447">
        <v>312779972</v>
      </c>
      <c r="E28" s="447">
        <v>1842</v>
      </c>
      <c r="F28" s="447">
        <v>279661301</v>
      </c>
      <c r="G28" s="447">
        <v>1522</v>
      </c>
      <c r="H28" s="447">
        <v>208618654</v>
      </c>
      <c r="I28" s="447">
        <v>0</v>
      </c>
      <c r="J28" s="447">
        <v>0</v>
      </c>
      <c r="K28" s="447">
        <v>1160</v>
      </c>
      <c r="L28" s="447">
        <v>138983475</v>
      </c>
      <c r="M28" s="447">
        <v>49</v>
      </c>
      <c r="N28" s="447">
        <v>3034799</v>
      </c>
      <c r="O28" s="447">
        <v>1</v>
      </c>
      <c r="P28" s="447">
        <v>52283</v>
      </c>
      <c r="Q28" s="447">
        <v>1159</v>
      </c>
      <c r="R28" s="447">
        <v>135948676</v>
      </c>
    </row>
    <row r="29" spans="1:18" x14ac:dyDescent="0.2">
      <c r="A29" s="446">
        <v>21</v>
      </c>
      <c r="B29" s="447" t="s">
        <v>429</v>
      </c>
      <c r="C29" s="447">
        <v>7739</v>
      </c>
      <c r="D29" s="447">
        <v>988296878</v>
      </c>
      <c r="E29" s="447">
        <v>7148</v>
      </c>
      <c r="F29" s="447">
        <v>896029355</v>
      </c>
      <c r="G29" s="447">
        <v>7130</v>
      </c>
      <c r="H29" s="447">
        <v>892257010</v>
      </c>
      <c r="I29" s="447">
        <v>111</v>
      </c>
      <c r="J29" s="447">
        <v>24127615</v>
      </c>
      <c r="K29" s="447">
        <v>5450</v>
      </c>
      <c r="L29" s="447">
        <v>594476757</v>
      </c>
      <c r="M29" s="447">
        <v>1094</v>
      </c>
      <c r="N29" s="447">
        <v>58868714</v>
      </c>
      <c r="O29" s="447">
        <v>91</v>
      </c>
      <c r="P29" s="447">
        <v>5567136</v>
      </c>
      <c r="Q29" s="447">
        <v>5359</v>
      </c>
      <c r="R29" s="447">
        <v>535608043</v>
      </c>
    </row>
    <row r="30" spans="1:18" x14ac:dyDescent="0.2">
      <c r="A30" s="446">
        <v>22</v>
      </c>
      <c r="B30" s="447" t="s">
        <v>430</v>
      </c>
      <c r="C30" s="447">
        <v>39053</v>
      </c>
      <c r="D30" s="447">
        <v>4933311266</v>
      </c>
      <c r="E30" s="447">
        <v>35383</v>
      </c>
      <c r="F30" s="447">
        <v>4300773472</v>
      </c>
      <c r="G30" s="447">
        <v>35017</v>
      </c>
      <c r="H30" s="447">
        <v>4252418741</v>
      </c>
      <c r="I30" s="447">
        <v>288</v>
      </c>
      <c r="J30" s="447">
        <v>66438912</v>
      </c>
      <c r="K30" s="447">
        <v>31298</v>
      </c>
      <c r="L30" s="447">
        <v>3837364088</v>
      </c>
      <c r="M30" s="447">
        <v>8162</v>
      </c>
      <c r="N30" s="447">
        <v>715418010</v>
      </c>
      <c r="O30" s="447">
        <v>73</v>
      </c>
      <c r="P30" s="447">
        <v>10026356</v>
      </c>
      <c r="Q30" s="447">
        <v>31225</v>
      </c>
      <c r="R30" s="447">
        <v>3121946078</v>
      </c>
    </row>
    <row r="31" spans="1:18" x14ac:dyDescent="0.2">
      <c r="A31" s="446">
        <v>23</v>
      </c>
      <c r="B31" s="447" t="s">
        <v>431</v>
      </c>
      <c r="C31" s="447">
        <v>20930</v>
      </c>
      <c r="D31" s="447">
        <v>2924909066</v>
      </c>
      <c r="E31" s="447">
        <v>17435</v>
      </c>
      <c r="F31" s="447">
        <v>2300628828</v>
      </c>
      <c r="G31" s="447">
        <v>15570</v>
      </c>
      <c r="H31" s="447">
        <v>1999900573</v>
      </c>
      <c r="I31" s="447">
        <v>350</v>
      </c>
      <c r="J31" s="447">
        <v>59360336</v>
      </c>
      <c r="K31" s="447">
        <v>6278</v>
      </c>
      <c r="L31" s="447">
        <v>753450076</v>
      </c>
      <c r="M31" s="447">
        <v>381</v>
      </c>
      <c r="N31" s="447">
        <v>14524867</v>
      </c>
      <c r="O31" s="447">
        <v>0</v>
      </c>
      <c r="P31" s="447">
        <v>0</v>
      </c>
      <c r="Q31" s="447">
        <v>6278</v>
      </c>
      <c r="R31" s="447">
        <v>738925209</v>
      </c>
    </row>
    <row r="32" spans="1:18" x14ac:dyDescent="0.2">
      <c r="A32" s="446">
        <v>24</v>
      </c>
      <c r="B32" s="447" t="s">
        <v>432</v>
      </c>
      <c r="C32" s="447">
        <v>7466</v>
      </c>
      <c r="D32" s="447">
        <v>508667158</v>
      </c>
      <c r="E32" s="447">
        <v>6506</v>
      </c>
      <c r="F32" s="447">
        <v>460720443</v>
      </c>
      <c r="G32" s="447">
        <v>4203</v>
      </c>
      <c r="H32" s="447">
        <v>265020176</v>
      </c>
      <c r="I32" s="447">
        <v>639</v>
      </c>
      <c r="J32" s="447">
        <v>22452693</v>
      </c>
      <c r="K32" s="447">
        <v>426</v>
      </c>
      <c r="L32" s="447">
        <v>24770000</v>
      </c>
      <c r="M32" s="447">
        <v>0</v>
      </c>
      <c r="N32" s="447">
        <v>0</v>
      </c>
      <c r="O32" s="447">
        <v>0</v>
      </c>
      <c r="P32" s="447">
        <v>0</v>
      </c>
      <c r="Q32" s="447">
        <v>426</v>
      </c>
      <c r="R32" s="447">
        <v>24770000</v>
      </c>
    </row>
    <row r="33" spans="1:18" x14ac:dyDescent="0.2">
      <c r="A33" s="446">
        <v>25</v>
      </c>
      <c r="B33" s="447" t="s">
        <v>433</v>
      </c>
      <c r="C33" s="447">
        <v>6801</v>
      </c>
      <c r="D33" s="447">
        <v>742683671</v>
      </c>
      <c r="E33" s="447">
        <v>4478</v>
      </c>
      <c r="F33" s="447">
        <v>465344621</v>
      </c>
      <c r="G33" s="447">
        <v>4478</v>
      </c>
      <c r="H33" s="447">
        <v>465344621</v>
      </c>
      <c r="I33" s="447">
        <v>765</v>
      </c>
      <c r="J33" s="447">
        <v>112042223</v>
      </c>
      <c r="K33" s="447">
        <v>3987</v>
      </c>
      <c r="L33" s="447">
        <v>404696465</v>
      </c>
      <c r="M33" s="447">
        <v>31</v>
      </c>
      <c r="N33" s="447">
        <v>846487</v>
      </c>
      <c r="O33" s="447">
        <v>0</v>
      </c>
      <c r="P33" s="447">
        <v>0</v>
      </c>
      <c r="Q33" s="447">
        <v>3987</v>
      </c>
      <c r="R33" s="447">
        <v>403849978</v>
      </c>
    </row>
    <row r="34" spans="1:18" x14ac:dyDescent="0.2">
      <c r="A34" s="446">
        <v>26</v>
      </c>
      <c r="B34" s="447" t="s">
        <v>434</v>
      </c>
      <c r="C34" s="447">
        <v>12733</v>
      </c>
      <c r="D34" s="447">
        <v>997298674</v>
      </c>
      <c r="E34" s="447">
        <v>4824</v>
      </c>
      <c r="F34" s="447">
        <v>476471905</v>
      </c>
      <c r="G34" s="447">
        <v>4695</v>
      </c>
      <c r="H34" s="447">
        <v>465486998</v>
      </c>
      <c r="I34" s="447">
        <v>656</v>
      </c>
      <c r="J34" s="447">
        <v>105493567</v>
      </c>
      <c r="K34" s="447">
        <v>3357</v>
      </c>
      <c r="L34" s="447">
        <v>437316786</v>
      </c>
      <c r="M34" s="447">
        <v>92</v>
      </c>
      <c r="N34" s="447">
        <v>4891013</v>
      </c>
      <c r="O34" s="447">
        <v>0</v>
      </c>
      <c r="P34" s="447">
        <v>0</v>
      </c>
      <c r="Q34" s="447">
        <v>3357</v>
      </c>
      <c r="R34" s="447">
        <v>432425773</v>
      </c>
    </row>
    <row r="35" spans="1:18" x14ac:dyDescent="0.2">
      <c r="A35" s="446">
        <v>27</v>
      </c>
      <c r="B35" s="447" t="s">
        <v>435</v>
      </c>
      <c r="C35" s="447">
        <v>14665</v>
      </c>
      <c r="D35" s="447">
        <v>1334999765</v>
      </c>
      <c r="E35" s="447">
        <v>10527</v>
      </c>
      <c r="F35" s="447">
        <v>1093331886</v>
      </c>
      <c r="G35" s="447">
        <v>10228</v>
      </c>
      <c r="H35" s="447">
        <v>1040241980</v>
      </c>
      <c r="I35" s="447">
        <v>0</v>
      </c>
      <c r="J35" s="447">
        <v>0</v>
      </c>
      <c r="K35" s="447">
        <v>7882</v>
      </c>
      <c r="L35" s="447">
        <v>993151263</v>
      </c>
      <c r="M35" s="447">
        <v>146</v>
      </c>
      <c r="N35" s="447">
        <v>8150484</v>
      </c>
      <c r="O35" s="447">
        <v>2</v>
      </c>
      <c r="P35" s="447">
        <v>0</v>
      </c>
      <c r="Q35" s="447">
        <v>7880</v>
      </c>
      <c r="R35" s="447">
        <v>985000779</v>
      </c>
    </row>
    <row r="36" spans="1:18" x14ac:dyDescent="0.2">
      <c r="A36" s="446">
        <v>28</v>
      </c>
      <c r="B36" s="447" t="s">
        <v>326</v>
      </c>
      <c r="C36" s="447">
        <v>5219</v>
      </c>
      <c r="D36" s="447">
        <v>412979232</v>
      </c>
      <c r="E36" s="447">
        <v>4897</v>
      </c>
      <c r="F36" s="447">
        <v>377999127</v>
      </c>
      <c r="G36" s="447">
        <v>2850</v>
      </c>
      <c r="H36" s="447">
        <v>208277015</v>
      </c>
      <c r="I36" s="447">
        <v>0</v>
      </c>
      <c r="J36" s="447">
        <v>0</v>
      </c>
      <c r="K36" s="447">
        <v>2829</v>
      </c>
      <c r="L36" s="447">
        <v>205064861</v>
      </c>
      <c r="M36" s="447">
        <v>290</v>
      </c>
      <c r="N36" s="447">
        <v>4307684</v>
      </c>
      <c r="O36" s="447">
        <v>0</v>
      </c>
      <c r="P36" s="447">
        <v>0</v>
      </c>
      <c r="Q36" s="447">
        <v>2829</v>
      </c>
      <c r="R36" s="447">
        <v>200757177</v>
      </c>
    </row>
    <row r="37" spans="1:18" x14ac:dyDescent="0.2">
      <c r="A37" s="446">
        <v>29</v>
      </c>
      <c r="B37" s="447" t="s">
        <v>436</v>
      </c>
      <c r="C37" s="447">
        <v>13394</v>
      </c>
      <c r="D37" s="447">
        <v>1541671825</v>
      </c>
      <c r="E37" s="447">
        <v>10669</v>
      </c>
      <c r="F37" s="447">
        <v>1312167267</v>
      </c>
      <c r="G37" s="447">
        <v>10430</v>
      </c>
      <c r="H37" s="447">
        <v>1281222164</v>
      </c>
      <c r="I37" s="447">
        <v>0</v>
      </c>
      <c r="J37" s="447">
        <v>0</v>
      </c>
      <c r="K37" s="447">
        <v>10002</v>
      </c>
      <c r="L37" s="447">
        <v>1194117525</v>
      </c>
      <c r="M37" s="447">
        <v>4</v>
      </c>
      <c r="N37" s="447">
        <v>1079478</v>
      </c>
      <c r="O37" s="447">
        <v>2</v>
      </c>
      <c r="P37" s="447">
        <v>182750</v>
      </c>
      <c r="Q37" s="447">
        <v>10000</v>
      </c>
      <c r="R37" s="447">
        <v>1193038047</v>
      </c>
    </row>
    <row r="38" spans="1:18" x14ac:dyDescent="0.2">
      <c r="A38" s="446">
        <v>30</v>
      </c>
      <c r="B38" s="447" t="s">
        <v>328</v>
      </c>
      <c r="C38" s="447">
        <v>16455</v>
      </c>
      <c r="D38" s="447">
        <v>3242491520</v>
      </c>
      <c r="E38" s="447">
        <v>14361</v>
      </c>
      <c r="F38" s="447">
        <v>2885446204</v>
      </c>
      <c r="G38" s="447">
        <v>13232</v>
      </c>
      <c r="H38" s="447">
        <v>2634881667</v>
      </c>
      <c r="I38" s="447">
        <v>0</v>
      </c>
      <c r="J38" s="447">
        <v>0</v>
      </c>
      <c r="K38" s="447">
        <v>10308</v>
      </c>
      <c r="L38" s="447">
        <v>1657158674</v>
      </c>
      <c r="M38" s="447">
        <v>26</v>
      </c>
      <c r="N38" s="447">
        <v>3682258</v>
      </c>
      <c r="O38" s="447">
        <v>46</v>
      </c>
      <c r="P38" s="447">
        <v>2695189</v>
      </c>
      <c r="Q38" s="447">
        <v>10262</v>
      </c>
      <c r="R38" s="447">
        <v>1653476416</v>
      </c>
    </row>
    <row r="39" spans="1:18" x14ac:dyDescent="0.2">
      <c r="A39" s="446">
        <v>31</v>
      </c>
      <c r="B39" s="447" t="s">
        <v>437</v>
      </c>
      <c r="C39" s="447">
        <v>6505</v>
      </c>
      <c r="D39" s="447">
        <v>907302255</v>
      </c>
      <c r="E39" s="447">
        <v>5965</v>
      </c>
      <c r="F39" s="447">
        <v>832130471</v>
      </c>
      <c r="G39" s="447">
        <v>5335</v>
      </c>
      <c r="H39" s="447">
        <v>685683767</v>
      </c>
      <c r="I39" s="447">
        <v>0</v>
      </c>
      <c r="J39" s="447">
        <v>0</v>
      </c>
      <c r="K39" s="447">
        <v>3333</v>
      </c>
      <c r="L39" s="447">
        <v>311487347</v>
      </c>
      <c r="M39" s="447">
        <v>159</v>
      </c>
      <c r="N39" s="447">
        <v>8923126</v>
      </c>
      <c r="O39" s="447">
        <v>15</v>
      </c>
      <c r="P39" s="447">
        <v>182555</v>
      </c>
      <c r="Q39" s="447">
        <v>3318</v>
      </c>
      <c r="R39" s="447">
        <v>302564221</v>
      </c>
    </row>
    <row r="40" spans="1:18" x14ac:dyDescent="0.2">
      <c r="A40" s="446">
        <v>32</v>
      </c>
      <c r="B40" s="447" t="s">
        <v>438</v>
      </c>
      <c r="C40" s="447">
        <v>6297</v>
      </c>
      <c r="D40" s="447">
        <v>707236119</v>
      </c>
      <c r="E40" s="447">
        <v>4979</v>
      </c>
      <c r="F40" s="447">
        <v>553765641</v>
      </c>
      <c r="G40" s="447">
        <v>4703</v>
      </c>
      <c r="H40" s="447">
        <v>470786766</v>
      </c>
      <c r="I40" s="447">
        <v>118</v>
      </c>
      <c r="J40" s="447">
        <v>4363132</v>
      </c>
      <c r="K40" s="447">
        <v>1730</v>
      </c>
      <c r="L40" s="447">
        <v>242110668</v>
      </c>
      <c r="M40" s="447">
        <v>302</v>
      </c>
      <c r="N40" s="447">
        <v>17818065</v>
      </c>
      <c r="O40" s="447">
        <v>78</v>
      </c>
      <c r="P40" s="447">
        <v>5933712</v>
      </c>
      <c r="Q40" s="447">
        <v>1652</v>
      </c>
      <c r="R40" s="447">
        <v>224292603</v>
      </c>
    </row>
    <row r="41" spans="1:18" x14ac:dyDescent="0.2">
      <c r="A41" s="446">
        <v>33</v>
      </c>
      <c r="B41" s="447" t="s">
        <v>439</v>
      </c>
      <c r="C41" s="447">
        <v>12579</v>
      </c>
      <c r="D41" s="447">
        <v>940633173</v>
      </c>
      <c r="E41" s="447">
        <v>11720</v>
      </c>
      <c r="F41" s="447">
        <v>854061129</v>
      </c>
      <c r="G41" s="447">
        <v>11262</v>
      </c>
      <c r="H41" s="447">
        <v>817030326</v>
      </c>
      <c r="I41" s="447">
        <v>3</v>
      </c>
      <c r="J41" s="447">
        <v>1557933</v>
      </c>
      <c r="K41" s="447">
        <v>4703</v>
      </c>
      <c r="L41" s="447">
        <v>203217150</v>
      </c>
      <c r="M41" s="447">
        <v>67</v>
      </c>
      <c r="N41" s="447">
        <v>5491816</v>
      </c>
      <c r="O41" s="447">
        <v>1</v>
      </c>
      <c r="P41" s="447">
        <v>0</v>
      </c>
      <c r="Q41" s="447">
        <v>4702</v>
      </c>
      <c r="R41" s="447">
        <v>197725334</v>
      </c>
    </row>
    <row r="42" spans="1:18" x14ac:dyDescent="0.2">
      <c r="A42" s="446">
        <v>34</v>
      </c>
      <c r="B42" s="447" t="s">
        <v>440</v>
      </c>
      <c r="C42" s="447">
        <v>11394</v>
      </c>
      <c r="D42" s="447">
        <v>1930662435</v>
      </c>
      <c r="E42" s="447">
        <v>8213</v>
      </c>
      <c r="F42" s="447">
        <v>1362059022</v>
      </c>
      <c r="G42" s="447">
        <v>8164</v>
      </c>
      <c r="H42" s="447">
        <v>1355361587</v>
      </c>
      <c r="I42" s="447">
        <v>85</v>
      </c>
      <c r="J42" s="447">
        <v>23138374</v>
      </c>
      <c r="K42" s="447">
        <v>8107</v>
      </c>
      <c r="L42" s="447">
        <v>1344662734</v>
      </c>
      <c r="M42" s="447">
        <v>53</v>
      </c>
      <c r="N42" s="447">
        <v>3635668</v>
      </c>
      <c r="O42" s="447">
        <v>3</v>
      </c>
      <c r="P42" s="447">
        <v>0</v>
      </c>
      <c r="Q42" s="447">
        <v>8104</v>
      </c>
      <c r="R42" s="447">
        <v>1341027066</v>
      </c>
    </row>
    <row r="43" spans="1:18" x14ac:dyDescent="0.2">
      <c r="A43" s="446">
        <v>35</v>
      </c>
      <c r="B43" s="447" t="s">
        <v>441</v>
      </c>
      <c r="C43" s="447">
        <v>16865</v>
      </c>
      <c r="D43" s="447">
        <v>1991945501</v>
      </c>
      <c r="E43" s="447">
        <v>11290</v>
      </c>
      <c r="F43" s="447">
        <v>1445217599</v>
      </c>
      <c r="G43" s="447">
        <v>11206</v>
      </c>
      <c r="H43" s="447">
        <v>1428821400</v>
      </c>
      <c r="I43" s="447">
        <v>885</v>
      </c>
      <c r="J43" s="447">
        <v>43327507</v>
      </c>
      <c r="K43" s="447">
        <v>7028</v>
      </c>
      <c r="L43" s="447">
        <v>864580997</v>
      </c>
      <c r="M43" s="447">
        <v>85</v>
      </c>
      <c r="N43" s="447">
        <v>5415755</v>
      </c>
      <c r="O43" s="447">
        <v>64</v>
      </c>
      <c r="P43" s="447">
        <v>0</v>
      </c>
      <c r="Q43" s="447">
        <v>6964</v>
      </c>
      <c r="R43" s="447">
        <v>859165242</v>
      </c>
    </row>
    <row r="44" spans="1:18" x14ac:dyDescent="0.2">
      <c r="A44" s="446">
        <v>36</v>
      </c>
      <c r="B44" s="447" t="s">
        <v>442</v>
      </c>
      <c r="C44" s="447">
        <v>14657</v>
      </c>
      <c r="D44" s="447">
        <v>1706168284</v>
      </c>
      <c r="E44" s="447">
        <v>13635</v>
      </c>
      <c r="F44" s="447">
        <v>1578648102</v>
      </c>
      <c r="G44" s="447">
        <v>11703</v>
      </c>
      <c r="H44" s="447">
        <v>1345809792</v>
      </c>
      <c r="I44" s="447">
        <v>6</v>
      </c>
      <c r="J44" s="447">
        <v>94678</v>
      </c>
      <c r="K44" s="447">
        <v>10495</v>
      </c>
      <c r="L44" s="447">
        <v>1322742627</v>
      </c>
      <c r="M44" s="447">
        <v>305</v>
      </c>
      <c r="N44" s="447">
        <v>65729397</v>
      </c>
      <c r="O44" s="447">
        <v>137</v>
      </c>
      <c r="P44" s="447">
        <v>17193176</v>
      </c>
      <c r="Q44" s="447">
        <v>10358</v>
      </c>
      <c r="R44" s="447">
        <v>1257013230</v>
      </c>
    </row>
    <row r="45" spans="1:18" x14ac:dyDescent="0.2">
      <c r="A45" s="446">
        <v>37</v>
      </c>
      <c r="B45" s="447" t="s">
        <v>443</v>
      </c>
      <c r="C45" s="447">
        <v>8683</v>
      </c>
      <c r="D45" s="447">
        <v>1492165791</v>
      </c>
      <c r="E45" s="447">
        <v>8265</v>
      </c>
      <c r="F45" s="447">
        <v>1413670310</v>
      </c>
      <c r="G45" s="447">
        <v>7866</v>
      </c>
      <c r="H45" s="447">
        <v>1335812806</v>
      </c>
      <c r="I45" s="447">
        <v>0</v>
      </c>
      <c r="J45" s="447">
        <v>0</v>
      </c>
      <c r="K45" s="447">
        <v>6456</v>
      </c>
      <c r="L45" s="447">
        <v>1086271185</v>
      </c>
      <c r="M45" s="447">
        <v>7</v>
      </c>
      <c r="N45" s="447">
        <v>1746438</v>
      </c>
      <c r="O45" s="447">
        <v>1</v>
      </c>
      <c r="P45" s="447">
        <v>0</v>
      </c>
      <c r="Q45" s="447">
        <v>6455</v>
      </c>
      <c r="R45" s="447">
        <v>1084524747</v>
      </c>
    </row>
    <row r="46" spans="1:18" x14ac:dyDescent="0.2">
      <c r="A46" s="446">
        <v>38</v>
      </c>
      <c r="B46" s="447" t="s">
        <v>444</v>
      </c>
      <c r="C46" s="447">
        <v>22724</v>
      </c>
      <c r="D46" s="447">
        <v>2293238041</v>
      </c>
      <c r="E46" s="447">
        <v>20062</v>
      </c>
      <c r="F46" s="447">
        <v>1803339018</v>
      </c>
      <c r="G46" s="447">
        <v>14315</v>
      </c>
      <c r="H46" s="447">
        <v>1031801639</v>
      </c>
      <c r="I46" s="447">
        <v>0</v>
      </c>
      <c r="J46" s="447">
        <v>0</v>
      </c>
      <c r="K46" s="447">
        <v>1504</v>
      </c>
      <c r="L46" s="447">
        <v>76755201</v>
      </c>
      <c r="M46" s="447">
        <v>50</v>
      </c>
      <c r="N46" s="447">
        <v>2323876</v>
      </c>
      <c r="O46" s="447">
        <v>1</v>
      </c>
      <c r="P46" s="447">
        <v>500000</v>
      </c>
      <c r="Q46" s="447">
        <v>1503</v>
      </c>
      <c r="R46" s="447">
        <v>74431325</v>
      </c>
    </row>
    <row r="47" spans="1:18" x14ac:dyDescent="0.2">
      <c r="A47" s="446">
        <v>39</v>
      </c>
      <c r="B47" s="447" t="s">
        <v>445</v>
      </c>
      <c r="C47" s="447">
        <v>11037</v>
      </c>
      <c r="D47" s="447">
        <v>1179747677</v>
      </c>
      <c r="E47" s="447">
        <v>9967</v>
      </c>
      <c r="F47" s="447">
        <v>1034489097</v>
      </c>
      <c r="G47" s="447">
        <v>7746</v>
      </c>
      <c r="H47" s="447">
        <v>701039768</v>
      </c>
      <c r="I47" s="447">
        <v>0</v>
      </c>
      <c r="J47" s="447">
        <v>0</v>
      </c>
      <c r="K47" s="447">
        <v>4289</v>
      </c>
      <c r="L47" s="447">
        <v>485843396</v>
      </c>
      <c r="M47" s="447">
        <v>0</v>
      </c>
      <c r="N47" s="447">
        <v>0</v>
      </c>
      <c r="O47" s="447">
        <v>2</v>
      </c>
      <c r="P47" s="447">
        <v>0</v>
      </c>
      <c r="Q47" s="447">
        <v>4287</v>
      </c>
      <c r="R47" s="447">
        <v>485843396</v>
      </c>
    </row>
    <row r="48" spans="1:18" x14ac:dyDescent="0.2">
      <c r="A48" s="446">
        <v>40</v>
      </c>
      <c r="B48" s="447" t="s">
        <v>446</v>
      </c>
      <c r="C48" s="447">
        <v>16372</v>
      </c>
      <c r="D48" s="447">
        <v>2238444920</v>
      </c>
      <c r="E48" s="447">
        <v>15535</v>
      </c>
      <c r="F48" s="447">
        <v>2090893595</v>
      </c>
      <c r="G48" s="447">
        <v>15331</v>
      </c>
      <c r="H48" s="447">
        <v>2078574876</v>
      </c>
      <c r="I48" s="447">
        <v>0</v>
      </c>
      <c r="J48" s="447">
        <v>0</v>
      </c>
      <c r="K48" s="447">
        <v>8882</v>
      </c>
      <c r="L48" s="447">
        <v>1184614223</v>
      </c>
      <c r="M48" s="447">
        <v>435</v>
      </c>
      <c r="N48" s="447">
        <v>38716113</v>
      </c>
      <c r="O48" s="447">
        <v>13</v>
      </c>
      <c r="P48" s="447">
        <v>803530</v>
      </c>
      <c r="Q48" s="447">
        <v>8869</v>
      </c>
      <c r="R48" s="447">
        <v>1145898110</v>
      </c>
    </row>
    <row r="49" spans="1:18" x14ac:dyDescent="0.2">
      <c r="A49" s="446">
        <v>41</v>
      </c>
      <c r="B49" s="447" t="s">
        <v>447</v>
      </c>
      <c r="C49" s="447">
        <v>6284</v>
      </c>
      <c r="D49" s="447">
        <v>712885199</v>
      </c>
      <c r="E49" s="447">
        <v>6023</v>
      </c>
      <c r="F49" s="447">
        <v>671633253</v>
      </c>
      <c r="G49" s="447">
        <v>6022</v>
      </c>
      <c r="H49" s="447">
        <v>671575650</v>
      </c>
      <c r="I49" s="447">
        <v>1</v>
      </c>
      <c r="J49" s="447">
        <v>272201</v>
      </c>
      <c r="K49" s="447">
        <v>4210</v>
      </c>
      <c r="L49" s="447">
        <v>445457609</v>
      </c>
      <c r="M49" s="447">
        <v>73</v>
      </c>
      <c r="N49" s="447">
        <v>8937995</v>
      </c>
      <c r="O49" s="447">
        <v>6</v>
      </c>
      <c r="P49" s="447">
        <v>50000</v>
      </c>
      <c r="Q49" s="447">
        <v>4204</v>
      </c>
      <c r="R49" s="447">
        <v>436519614</v>
      </c>
    </row>
    <row r="50" spans="1:18" x14ac:dyDescent="0.2">
      <c r="A50" s="446">
        <v>42</v>
      </c>
      <c r="B50" s="447" t="s">
        <v>448</v>
      </c>
      <c r="C50" s="447">
        <v>5341</v>
      </c>
      <c r="D50" s="447">
        <v>503173955</v>
      </c>
      <c r="E50" s="447">
        <v>4542</v>
      </c>
      <c r="F50" s="447">
        <v>415106438</v>
      </c>
      <c r="G50" s="447">
        <v>4279</v>
      </c>
      <c r="H50" s="447">
        <v>392043444</v>
      </c>
      <c r="I50" s="447">
        <v>0</v>
      </c>
      <c r="J50" s="447">
        <v>0</v>
      </c>
      <c r="K50" s="447">
        <v>1244</v>
      </c>
      <c r="L50" s="447">
        <v>122188467</v>
      </c>
      <c r="M50" s="447">
        <v>27</v>
      </c>
      <c r="N50" s="447">
        <v>698936</v>
      </c>
      <c r="O50" s="447">
        <v>1</v>
      </c>
      <c r="P50" s="447">
        <v>0</v>
      </c>
      <c r="Q50" s="447">
        <v>1243</v>
      </c>
      <c r="R50" s="447">
        <v>121489531</v>
      </c>
    </row>
    <row r="51" spans="1:18" x14ac:dyDescent="0.2">
      <c r="A51" s="446">
        <v>43</v>
      </c>
      <c r="B51" s="447" t="s">
        <v>449</v>
      </c>
      <c r="C51" s="447">
        <v>11132</v>
      </c>
      <c r="D51" s="447">
        <v>1298553846</v>
      </c>
      <c r="E51" s="447">
        <v>10178</v>
      </c>
      <c r="F51" s="447">
        <v>1181064737</v>
      </c>
      <c r="G51" s="447">
        <v>9843</v>
      </c>
      <c r="H51" s="447">
        <v>1119498066</v>
      </c>
      <c r="I51" s="447">
        <v>1</v>
      </c>
      <c r="J51" s="447">
        <v>83893</v>
      </c>
      <c r="K51" s="447">
        <v>4491</v>
      </c>
      <c r="L51" s="447">
        <v>448835191</v>
      </c>
      <c r="M51" s="447">
        <v>353</v>
      </c>
      <c r="N51" s="447">
        <v>43803966</v>
      </c>
      <c r="O51" s="447">
        <v>3</v>
      </c>
      <c r="P51" s="447">
        <v>118000</v>
      </c>
      <c r="Q51" s="447">
        <v>4488</v>
      </c>
      <c r="R51" s="447">
        <v>405031225</v>
      </c>
    </row>
    <row r="52" spans="1:18" x14ac:dyDescent="0.2">
      <c r="A52" s="446">
        <v>44</v>
      </c>
      <c r="B52" s="447" t="s">
        <v>450</v>
      </c>
      <c r="C52" s="447">
        <v>3230</v>
      </c>
      <c r="D52" s="447">
        <v>395105226</v>
      </c>
      <c r="E52" s="447">
        <v>3033</v>
      </c>
      <c r="F52" s="447">
        <v>344948610</v>
      </c>
      <c r="G52" s="447">
        <v>3000</v>
      </c>
      <c r="H52" s="447">
        <v>335950672</v>
      </c>
      <c r="I52" s="447">
        <v>0</v>
      </c>
      <c r="J52" s="447">
        <v>0</v>
      </c>
      <c r="K52" s="447">
        <v>2405</v>
      </c>
      <c r="L52" s="447">
        <v>278324215</v>
      </c>
      <c r="M52" s="447">
        <v>4</v>
      </c>
      <c r="N52" s="447">
        <v>384610</v>
      </c>
      <c r="O52" s="447">
        <v>0</v>
      </c>
      <c r="P52" s="447">
        <v>0</v>
      </c>
      <c r="Q52" s="447">
        <v>2405</v>
      </c>
      <c r="R52" s="447">
        <v>277939605</v>
      </c>
    </row>
    <row r="53" spans="1:18" x14ac:dyDescent="0.2">
      <c r="A53" s="446">
        <v>45</v>
      </c>
      <c r="B53" s="447" t="s">
        <v>451</v>
      </c>
      <c r="C53" s="447">
        <v>17411</v>
      </c>
      <c r="D53" s="447">
        <v>5130514042</v>
      </c>
      <c r="E53" s="447">
        <v>16241</v>
      </c>
      <c r="F53" s="447">
        <v>4978594749</v>
      </c>
      <c r="G53" s="447">
        <v>14180</v>
      </c>
      <c r="H53" s="447">
        <v>4720804606</v>
      </c>
      <c r="I53" s="447">
        <v>1</v>
      </c>
      <c r="J53" s="447">
        <v>48406</v>
      </c>
      <c r="K53" s="447">
        <v>10120</v>
      </c>
      <c r="L53" s="447">
        <v>4545789896</v>
      </c>
      <c r="M53" s="447">
        <v>2479</v>
      </c>
      <c r="N53" s="447">
        <v>178271821</v>
      </c>
      <c r="O53" s="447">
        <v>33</v>
      </c>
      <c r="P53" s="447">
        <v>5342916</v>
      </c>
      <c r="Q53" s="447">
        <v>10087</v>
      </c>
      <c r="R53" s="447">
        <v>4367518075</v>
      </c>
    </row>
    <row r="54" spans="1:18" x14ac:dyDescent="0.2">
      <c r="A54" s="446">
        <v>46</v>
      </c>
      <c r="B54" s="447" t="s">
        <v>452</v>
      </c>
      <c r="C54" s="447">
        <v>4515</v>
      </c>
      <c r="D54" s="447">
        <v>673000829</v>
      </c>
      <c r="E54" s="447">
        <v>4072</v>
      </c>
      <c r="F54" s="447">
        <v>545791704</v>
      </c>
      <c r="G54" s="447">
        <v>1527</v>
      </c>
      <c r="H54" s="447">
        <v>287895549</v>
      </c>
      <c r="I54" s="447">
        <v>52</v>
      </c>
      <c r="J54" s="447">
        <v>7011987</v>
      </c>
      <c r="K54" s="447">
        <v>1006</v>
      </c>
      <c r="L54" s="447">
        <v>188691243</v>
      </c>
      <c r="M54" s="447">
        <v>204</v>
      </c>
      <c r="N54" s="447">
        <v>26915751</v>
      </c>
      <c r="O54" s="447">
        <v>0</v>
      </c>
      <c r="P54" s="447">
        <v>0</v>
      </c>
      <c r="Q54" s="447">
        <v>1006</v>
      </c>
      <c r="R54" s="447">
        <v>161775492</v>
      </c>
    </row>
    <row r="55" spans="1:18" x14ac:dyDescent="0.2">
      <c r="A55" s="446">
        <v>47</v>
      </c>
      <c r="B55" s="447" t="s">
        <v>453</v>
      </c>
      <c r="C55" s="447">
        <v>2726</v>
      </c>
      <c r="D55" s="447">
        <v>370875281</v>
      </c>
      <c r="E55" s="447">
        <v>2534</v>
      </c>
      <c r="F55" s="447">
        <v>339554421</v>
      </c>
      <c r="G55" s="447">
        <v>2240</v>
      </c>
      <c r="H55" s="447">
        <v>324500131</v>
      </c>
      <c r="I55" s="447">
        <v>0</v>
      </c>
      <c r="J55" s="447">
        <v>0</v>
      </c>
      <c r="K55" s="447">
        <v>722</v>
      </c>
      <c r="L55" s="447">
        <v>111854658</v>
      </c>
      <c r="M55" s="447">
        <v>46</v>
      </c>
      <c r="N55" s="447">
        <v>3594220</v>
      </c>
      <c r="O55" s="447">
        <v>0</v>
      </c>
      <c r="P55" s="447">
        <v>0</v>
      </c>
      <c r="Q55" s="447">
        <v>722</v>
      </c>
      <c r="R55" s="447">
        <v>108260438</v>
      </c>
    </row>
    <row r="56" spans="1:18" x14ac:dyDescent="0.2">
      <c r="A56" s="446">
        <v>48</v>
      </c>
      <c r="B56" s="447" t="s">
        <v>454</v>
      </c>
      <c r="C56" s="447">
        <v>14148</v>
      </c>
      <c r="D56" s="447">
        <v>741937593</v>
      </c>
      <c r="E56" s="447">
        <v>13562</v>
      </c>
      <c r="F56" s="447">
        <v>678962534</v>
      </c>
      <c r="G56" s="447">
        <v>13288</v>
      </c>
      <c r="H56" s="447">
        <v>648788772</v>
      </c>
      <c r="I56" s="447">
        <v>0</v>
      </c>
      <c r="J56" s="447">
        <v>0</v>
      </c>
      <c r="K56" s="447">
        <v>5425</v>
      </c>
      <c r="L56" s="447">
        <v>240084830</v>
      </c>
      <c r="M56" s="447">
        <v>105</v>
      </c>
      <c r="N56" s="447">
        <v>3909706</v>
      </c>
      <c r="O56" s="447">
        <v>34</v>
      </c>
      <c r="P56" s="447">
        <v>1706335</v>
      </c>
      <c r="Q56" s="447">
        <v>5391</v>
      </c>
      <c r="R56" s="447">
        <v>236175124</v>
      </c>
    </row>
    <row r="57" spans="1:18" x14ac:dyDescent="0.2">
      <c r="A57" s="446">
        <v>49</v>
      </c>
      <c r="B57" s="447" t="s">
        <v>455</v>
      </c>
      <c r="C57" s="447">
        <v>31304</v>
      </c>
      <c r="D57" s="447">
        <v>3512565051</v>
      </c>
      <c r="E57" s="447">
        <v>29501</v>
      </c>
      <c r="F57" s="447">
        <v>3278936758</v>
      </c>
      <c r="G57" s="447">
        <v>28994</v>
      </c>
      <c r="H57" s="447">
        <v>3225235421</v>
      </c>
      <c r="I57" s="447">
        <v>0</v>
      </c>
      <c r="J57" s="447">
        <v>0</v>
      </c>
      <c r="K57" s="447">
        <v>23916</v>
      </c>
      <c r="L57" s="447">
        <v>2705828271</v>
      </c>
      <c r="M57" s="447">
        <v>3736</v>
      </c>
      <c r="N57" s="447">
        <v>532057945</v>
      </c>
      <c r="O57" s="447">
        <v>76</v>
      </c>
      <c r="P57" s="447">
        <v>8265702</v>
      </c>
      <c r="Q57" s="447">
        <v>23840</v>
      </c>
      <c r="R57" s="447">
        <v>2173770326</v>
      </c>
    </row>
    <row r="58" spans="1:18" x14ac:dyDescent="0.2">
      <c r="A58" s="446">
        <v>50</v>
      </c>
      <c r="B58" s="447" t="s">
        <v>456</v>
      </c>
      <c r="C58" s="447">
        <v>3485</v>
      </c>
      <c r="D58" s="447">
        <v>322384469</v>
      </c>
      <c r="E58" s="447">
        <v>3260</v>
      </c>
      <c r="F58" s="447">
        <v>288603385</v>
      </c>
      <c r="G58" s="447">
        <v>1311</v>
      </c>
      <c r="H58" s="447">
        <v>87373603</v>
      </c>
      <c r="I58" s="447">
        <v>0</v>
      </c>
      <c r="J58" s="447">
        <v>0</v>
      </c>
      <c r="K58" s="447">
        <v>1310</v>
      </c>
      <c r="L58" s="447">
        <v>87331444</v>
      </c>
      <c r="M58" s="447">
        <v>0</v>
      </c>
      <c r="N58" s="447">
        <v>0</v>
      </c>
      <c r="O58" s="447">
        <v>0</v>
      </c>
      <c r="P58" s="447">
        <v>0</v>
      </c>
      <c r="Q58" s="447">
        <v>1310</v>
      </c>
      <c r="R58" s="447">
        <v>87331444</v>
      </c>
    </row>
    <row r="59" spans="1:18" x14ac:dyDescent="0.2">
      <c r="A59" s="446">
        <v>51</v>
      </c>
      <c r="B59" s="447" t="s">
        <v>457</v>
      </c>
      <c r="C59" s="447">
        <v>17285</v>
      </c>
      <c r="D59" s="447">
        <v>2585878846</v>
      </c>
      <c r="E59" s="447">
        <v>16613</v>
      </c>
      <c r="F59" s="447">
        <v>2486847267</v>
      </c>
      <c r="G59" s="447">
        <v>15078</v>
      </c>
      <c r="H59" s="447">
        <v>2291171492</v>
      </c>
      <c r="I59" s="447">
        <v>25</v>
      </c>
      <c r="J59" s="447">
        <v>1683166</v>
      </c>
      <c r="K59" s="447">
        <v>12771</v>
      </c>
      <c r="L59" s="447">
        <v>2169644375</v>
      </c>
      <c r="M59" s="447">
        <v>68</v>
      </c>
      <c r="N59" s="447">
        <v>6630463</v>
      </c>
      <c r="O59" s="447">
        <v>5</v>
      </c>
      <c r="P59" s="447">
        <v>342000</v>
      </c>
      <c r="Q59" s="447">
        <v>12766</v>
      </c>
      <c r="R59" s="447">
        <v>2163013912</v>
      </c>
    </row>
    <row r="60" spans="1:18" x14ac:dyDescent="0.2">
      <c r="A60" s="448"/>
      <c r="B60" s="449"/>
      <c r="C60" s="450">
        <v>619967</v>
      </c>
      <c r="D60" s="450">
        <v>84563766582</v>
      </c>
      <c r="E60" s="450">
        <v>543815</v>
      </c>
      <c r="F60" s="450">
        <v>74268336037</v>
      </c>
      <c r="G60" s="450">
        <v>501808</v>
      </c>
      <c r="H60" s="450">
        <v>68893065738</v>
      </c>
      <c r="I60" s="450">
        <v>4449</v>
      </c>
      <c r="J60" s="450">
        <v>551463532</v>
      </c>
      <c r="K60" s="450">
        <v>351041</v>
      </c>
      <c r="L60" s="450">
        <v>46546323084</v>
      </c>
      <c r="M60" s="450">
        <v>29519</v>
      </c>
      <c r="N60" s="450">
        <v>2677918154</v>
      </c>
      <c r="O60" s="450">
        <v>2193</v>
      </c>
      <c r="P60" s="450">
        <v>232155826</v>
      </c>
      <c r="Q60" s="450">
        <v>348848</v>
      </c>
      <c r="R60" s="450">
        <v>43868404930</v>
      </c>
    </row>
    <row r="61" spans="1:18" ht="409.6" hidden="1" customHeight="1" x14ac:dyDescent="0.2"/>
    <row r="62" spans="1:18" x14ac:dyDescent="0.2">
      <c r="E62" s="440" t="s">
        <v>1238</v>
      </c>
    </row>
  </sheetData>
  <mergeCells count="11">
    <mergeCell ref="Q6:R6"/>
    <mergeCell ref="A1:R1"/>
    <mergeCell ref="A3:R3"/>
    <mergeCell ref="C5:R5"/>
    <mergeCell ref="C6:D6"/>
    <mergeCell ref="E6:F6"/>
    <mergeCell ref="G6:H6"/>
    <mergeCell ref="I6:J6"/>
    <mergeCell ref="K6:L6"/>
    <mergeCell ref="M6:N6"/>
    <mergeCell ref="O6:P6"/>
  </mergeCells>
  <pageMargins left="0.7" right="0.7" top="0.25" bottom="0.25" header="0.3" footer="0.3"/>
  <pageSetup paperSize="9" scale="67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"/>
  <sheetViews>
    <sheetView view="pageBreakPreview" topLeftCell="A7" zoomScale="60" zoomScaleNormal="100" workbookViewId="0">
      <selection activeCell="S7" sqref="S7"/>
    </sheetView>
  </sheetViews>
  <sheetFormatPr defaultRowHeight="12.75" x14ac:dyDescent="0.2"/>
  <sheetData>
    <row r="1" spans="1:11" s="392" customFormat="1" ht="31.5" customHeight="1" x14ac:dyDescent="0.2">
      <c r="A1" s="600" t="s">
        <v>600</v>
      </c>
      <c r="B1" s="600"/>
      <c r="C1" s="600"/>
      <c r="D1" s="600"/>
      <c r="E1" s="600"/>
      <c r="F1" s="600"/>
      <c r="G1" s="600"/>
      <c r="H1" s="600"/>
      <c r="I1" s="600"/>
      <c r="J1" s="600" t="s">
        <v>599</v>
      </c>
      <c r="K1" s="600"/>
    </row>
  </sheetData>
  <mergeCells count="2">
    <mergeCell ref="A1:I1"/>
    <mergeCell ref="J1:K1"/>
  </mergeCell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view="pageBreakPreview" zoomScale="60" zoomScaleNormal="100" workbookViewId="0">
      <selection activeCell="B29" sqref="B29"/>
    </sheetView>
  </sheetViews>
  <sheetFormatPr defaultRowHeight="15" x14ac:dyDescent="0.2"/>
  <cols>
    <col min="1" max="1" width="5.140625" style="381" customWidth="1"/>
    <col min="2" max="2" width="27.28515625" style="381" customWidth="1"/>
    <col min="3" max="3" width="14.7109375" style="381" hidden="1" customWidth="1"/>
    <col min="4" max="4" width="13.140625" style="381" bestFit="1" customWidth="1"/>
    <col min="5" max="5" width="18" style="381" customWidth="1"/>
    <col min="6" max="6" width="16.140625" style="381" customWidth="1"/>
    <col min="7" max="7" width="17.28515625" style="381" customWidth="1"/>
    <col min="8" max="8" width="13.85546875" style="389" customWidth="1"/>
    <col min="9" max="256" width="9.140625" style="381"/>
    <col min="257" max="257" width="7.7109375" style="381" bestFit="1" customWidth="1"/>
    <col min="258" max="258" width="43.28515625" style="381" customWidth="1"/>
    <col min="259" max="259" width="0" style="381" hidden="1" customWidth="1"/>
    <col min="260" max="260" width="13.140625" style="381" bestFit="1" customWidth="1"/>
    <col min="261" max="261" width="18" style="381" customWidth="1"/>
    <col min="262" max="262" width="16.140625" style="381" customWidth="1"/>
    <col min="263" max="263" width="17.28515625" style="381" customWidth="1"/>
    <col min="264" max="264" width="13.85546875" style="381" customWidth="1"/>
    <col min="265" max="512" width="9.140625" style="381"/>
    <col min="513" max="513" width="7.7109375" style="381" bestFit="1" customWidth="1"/>
    <col min="514" max="514" width="43.28515625" style="381" customWidth="1"/>
    <col min="515" max="515" width="0" style="381" hidden="1" customWidth="1"/>
    <col min="516" max="516" width="13.140625" style="381" bestFit="1" customWidth="1"/>
    <col min="517" max="517" width="18" style="381" customWidth="1"/>
    <col min="518" max="518" width="16.140625" style="381" customWidth="1"/>
    <col min="519" max="519" width="17.28515625" style="381" customWidth="1"/>
    <col min="520" max="520" width="13.85546875" style="381" customWidth="1"/>
    <col min="521" max="768" width="9.140625" style="381"/>
    <col min="769" max="769" width="7.7109375" style="381" bestFit="1" customWidth="1"/>
    <col min="770" max="770" width="43.28515625" style="381" customWidth="1"/>
    <col min="771" max="771" width="0" style="381" hidden="1" customWidth="1"/>
    <col min="772" max="772" width="13.140625" style="381" bestFit="1" customWidth="1"/>
    <col min="773" max="773" width="18" style="381" customWidth="1"/>
    <col min="774" max="774" width="16.140625" style="381" customWidth="1"/>
    <col min="775" max="775" width="17.28515625" style="381" customWidth="1"/>
    <col min="776" max="776" width="13.85546875" style="381" customWidth="1"/>
    <col min="777" max="1024" width="9.140625" style="381"/>
    <col min="1025" max="1025" width="7.7109375" style="381" bestFit="1" customWidth="1"/>
    <col min="1026" max="1026" width="43.28515625" style="381" customWidth="1"/>
    <col min="1027" max="1027" width="0" style="381" hidden="1" customWidth="1"/>
    <col min="1028" max="1028" width="13.140625" style="381" bestFit="1" customWidth="1"/>
    <col min="1029" max="1029" width="18" style="381" customWidth="1"/>
    <col min="1030" max="1030" width="16.140625" style="381" customWidth="1"/>
    <col min="1031" max="1031" width="17.28515625" style="381" customWidth="1"/>
    <col min="1032" max="1032" width="13.85546875" style="381" customWidth="1"/>
    <col min="1033" max="1280" width="9.140625" style="381"/>
    <col min="1281" max="1281" width="7.7109375" style="381" bestFit="1" customWidth="1"/>
    <col min="1282" max="1282" width="43.28515625" style="381" customWidth="1"/>
    <col min="1283" max="1283" width="0" style="381" hidden="1" customWidth="1"/>
    <col min="1284" max="1284" width="13.140625" style="381" bestFit="1" customWidth="1"/>
    <col min="1285" max="1285" width="18" style="381" customWidth="1"/>
    <col min="1286" max="1286" width="16.140625" style="381" customWidth="1"/>
    <col min="1287" max="1287" width="17.28515625" style="381" customWidth="1"/>
    <col min="1288" max="1288" width="13.85546875" style="381" customWidth="1"/>
    <col min="1289" max="1536" width="9.140625" style="381"/>
    <col min="1537" max="1537" width="7.7109375" style="381" bestFit="1" customWidth="1"/>
    <col min="1538" max="1538" width="43.28515625" style="381" customWidth="1"/>
    <col min="1539" max="1539" width="0" style="381" hidden="1" customWidth="1"/>
    <col min="1540" max="1540" width="13.140625" style="381" bestFit="1" customWidth="1"/>
    <col min="1541" max="1541" width="18" style="381" customWidth="1"/>
    <col min="1542" max="1542" width="16.140625" style="381" customWidth="1"/>
    <col min="1543" max="1543" width="17.28515625" style="381" customWidth="1"/>
    <col min="1544" max="1544" width="13.85546875" style="381" customWidth="1"/>
    <col min="1545" max="1792" width="9.140625" style="381"/>
    <col min="1793" max="1793" width="7.7109375" style="381" bestFit="1" customWidth="1"/>
    <col min="1794" max="1794" width="43.28515625" style="381" customWidth="1"/>
    <col min="1795" max="1795" width="0" style="381" hidden="1" customWidth="1"/>
    <col min="1796" max="1796" width="13.140625" style="381" bestFit="1" customWidth="1"/>
    <col min="1797" max="1797" width="18" style="381" customWidth="1"/>
    <col min="1798" max="1798" width="16.140625" style="381" customWidth="1"/>
    <col min="1799" max="1799" width="17.28515625" style="381" customWidth="1"/>
    <col min="1800" max="1800" width="13.85546875" style="381" customWidth="1"/>
    <col min="1801" max="2048" width="9.140625" style="381"/>
    <col min="2049" max="2049" width="7.7109375" style="381" bestFit="1" customWidth="1"/>
    <col min="2050" max="2050" width="43.28515625" style="381" customWidth="1"/>
    <col min="2051" max="2051" width="0" style="381" hidden="1" customWidth="1"/>
    <col min="2052" max="2052" width="13.140625" style="381" bestFit="1" customWidth="1"/>
    <col min="2053" max="2053" width="18" style="381" customWidth="1"/>
    <col min="2054" max="2054" width="16.140625" style="381" customWidth="1"/>
    <col min="2055" max="2055" width="17.28515625" style="381" customWidth="1"/>
    <col min="2056" max="2056" width="13.85546875" style="381" customWidth="1"/>
    <col min="2057" max="2304" width="9.140625" style="381"/>
    <col min="2305" max="2305" width="7.7109375" style="381" bestFit="1" customWidth="1"/>
    <col min="2306" max="2306" width="43.28515625" style="381" customWidth="1"/>
    <col min="2307" max="2307" width="0" style="381" hidden="1" customWidth="1"/>
    <col min="2308" max="2308" width="13.140625" style="381" bestFit="1" customWidth="1"/>
    <col min="2309" max="2309" width="18" style="381" customWidth="1"/>
    <col min="2310" max="2310" width="16.140625" style="381" customWidth="1"/>
    <col min="2311" max="2311" width="17.28515625" style="381" customWidth="1"/>
    <col min="2312" max="2312" width="13.85546875" style="381" customWidth="1"/>
    <col min="2313" max="2560" width="9.140625" style="381"/>
    <col min="2561" max="2561" width="7.7109375" style="381" bestFit="1" customWidth="1"/>
    <col min="2562" max="2562" width="43.28515625" style="381" customWidth="1"/>
    <col min="2563" max="2563" width="0" style="381" hidden="1" customWidth="1"/>
    <col min="2564" max="2564" width="13.140625" style="381" bestFit="1" customWidth="1"/>
    <col min="2565" max="2565" width="18" style="381" customWidth="1"/>
    <col min="2566" max="2566" width="16.140625" style="381" customWidth="1"/>
    <col min="2567" max="2567" width="17.28515625" style="381" customWidth="1"/>
    <col min="2568" max="2568" width="13.85546875" style="381" customWidth="1"/>
    <col min="2569" max="2816" width="9.140625" style="381"/>
    <col min="2817" max="2817" width="7.7109375" style="381" bestFit="1" customWidth="1"/>
    <col min="2818" max="2818" width="43.28515625" style="381" customWidth="1"/>
    <col min="2819" max="2819" width="0" style="381" hidden="1" customWidth="1"/>
    <col min="2820" max="2820" width="13.140625" style="381" bestFit="1" customWidth="1"/>
    <col min="2821" max="2821" width="18" style="381" customWidth="1"/>
    <col min="2822" max="2822" width="16.140625" style="381" customWidth="1"/>
    <col min="2823" max="2823" width="17.28515625" style="381" customWidth="1"/>
    <col min="2824" max="2824" width="13.85546875" style="381" customWidth="1"/>
    <col min="2825" max="3072" width="9.140625" style="381"/>
    <col min="3073" max="3073" width="7.7109375" style="381" bestFit="1" customWidth="1"/>
    <col min="3074" max="3074" width="43.28515625" style="381" customWidth="1"/>
    <col min="3075" max="3075" width="0" style="381" hidden="1" customWidth="1"/>
    <col min="3076" max="3076" width="13.140625" style="381" bestFit="1" customWidth="1"/>
    <col min="3077" max="3077" width="18" style="381" customWidth="1"/>
    <col min="3078" max="3078" width="16.140625" style="381" customWidth="1"/>
    <col min="3079" max="3079" width="17.28515625" style="381" customWidth="1"/>
    <col min="3080" max="3080" width="13.85546875" style="381" customWidth="1"/>
    <col min="3081" max="3328" width="9.140625" style="381"/>
    <col min="3329" max="3329" width="7.7109375" style="381" bestFit="1" customWidth="1"/>
    <col min="3330" max="3330" width="43.28515625" style="381" customWidth="1"/>
    <col min="3331" max="3331" width="0" style="381" hidden="1" customWidth="1"/>
    <col min="3332" max="3332" width="13.140625" style="381" bestFit="1" customWidth="1"/>
    <col min="3333" max="3333" width="18" style="381" customWidth="1"/>
    <col min="3334" max="3334" width="16.140625" style="381" customWidth="1"/>
    <col min="3335" max="3335" width="17.28515625" style="381" customWidth="1"/>
    <col min="3336" max="3336" width="13.85546875" style="381" customWidth="1"/>
    <col min="3337" max="3584" width="9.140625" style="381"/>
    <col min="3585" max="3585" width="7.7109375" style="381" bestFit="1" customWidth="1"/>
    <col min="3586" max="3586" width="43.28515625" style="381" customWidth="1"/>
    <col min="3587" max="3587" width="0" style="381" hidden="1" customWidth="1"/>
    <col min="3588" max="3588" width="13.140625" style="381" bestFit="1" customWidth="1"/>
    <col min="3589" max="3589" width="18" style="381" customWidth="1"/>
    <col min="3590" max="3590" width="16.140625" style="381" customWidth="1"/>
    <col min="3591" max="3591" width="17.28515625" style="381" customWidth="1"/>
    <col min="3592" max="3592" width="13.85546875" style="381" customWidth="1"/>
    <col min="3593" max="3840" width="9.140625" style="381"/>
    <col min="3841" max="3841" width="7.7109375" style="381" bestFit="1" customWidth="1"/>
    <col min="3842" max="3842" width="43.28515625" style="381" customWidth="1"/>
    <col min="3843" max="3843" width="0" style="381" hidden="1" customWidth="1"/>
    <col min="3844" max="3844" width="13.140625" style="381" bestFit="1" customWidth="1"/>
    <col min="3845" max="3845" width="18" style="381" customWidth="1"/>
    <col min="3846" max="3846" width="16.140625" style="381" customWidth="1"/>
    <col min="3847" max="3847" width="17.28515625" style="381" customWidth="1"/>
    <col min="3848" max="3848" width="13.85546875" style="381" customWidth="1"/>
    <col min="3849" max="4096" width="9.140625" style="381"/>
    <col min="4097" max="4097" width="7.7109375" style="381" bestFit="1" customWidth="1"/>
    <col min="4098" max="4098" width="43.28515625" style="381" customWidth="1"/>
    <col min="4099" max="4099" width="0" style="381" hidden="1" customWidth="1"/>
    <col min="4100" max="4100" width="13.140625" style="381" bestFit="1" customWidth="1"/>
    <col min="4101" max="4101" width="18" style="381" customWidth="1"/>
    <col min="4102" max="4102" width="16.140625" style="381" customWidth="1"/>
    <col min="4103" max="4103" width="17.28515625" style="381" customWidth="1"/>
    <col min="4104" max="4104" width="13.85546875" style="381" customWidth="1"/>
    <col min="4105" max="4352" width="9.140625" style="381"/>
    <col min="4353" max="4353" width="7.7109375" style="381" bestFit="1" customWidth="1"/>
    <col min="4354" max="4354" width="43.28515625" style="381" customWidth="1"/>
    <col min="4355" max="4355" width="0" style="381" hidden="1" customWidth="1"/>
    <col min="4356" max="4356" width="13.140625" style="381" bestFit="1" customWidth="1"/>
    <col min="4357" max="4357" width="18" style="381" customWidth="1"/>
    <col min="4358" max="4358" width="16.140625" style="381" customWidth="1"/>
    <col min="4359" max="4359" width="17.28515625" style="381" customWidth="1"/>
    <col min="4360" max="4360" width="13.85546875" style="381" customWidth="1"/>
    <col min="4361" max="4608" width="9.140625" style="381"/>
    <col min="4609" max="4609" width="7.7109375" style="381" bestFit="1" customWidth="1"/>
    <col min="4610" max="4610" width="43.28515625" style="381" customWidth="1"/>
    <col min="4611" max="4611" width="0" style="381" hidden="1" customWidth="1"/>
    <col min="4612" max="4612" width="13.140625" style="381" bestFit="1" customWidth="1"/>
    <col min="4613" max="4613" width="18" style="381" customWidth="1"/>
    <col min="4614" max="4614" width="16.140625" style="381" customWidth="1"/>
    <col min="4615" max="4615" width="17.28515625" style="381" customWidth="1"/>
    <col min="4616" max="4616" width="13.85546875" style="381" customWidth="1"/>
    <col min="4617" max="4864" width="9.140625" style="381"/>
    <col min="4865" max="4865" width="7.7109375" style="381" bestFit="1" customWidth="1"/>
    <col min="4866" max="4866" width="43.28515625" style="381" customWidth="1"/>
    <col min="4867" max="4867" width="0" style="381" hidden="1" customWidth="1"/>
    <col min="4868" max="4868" width="13.140625" style="381" bestFit="1" customWidth="1"/>
    <col min="4869" max="4869" width="18" style="381" customWidth="1"/>
    <col min="4870" max="4870" width="16.140625" style="381" customWidth="1"/>
    <col min="4871" max="4871" width="17.28515625" style="381" customWidth="1"/>
    <col min="4872" max="4872" width="13.85546875" style="381" customWidth="1"/>
    <col min="4873" max="5120" width="9.140625" style="381"/>
    <col min="5121" max="5121" width="7.7109375" style="381" bestFit="1" customWidth="1"/>
    <col min="5122" max="5122" width="43.28515625" style="381" customWidth="1"/>
    <col min="5123" max="5123" width="0" style="381" hidden="1" customWidth="1"/>
    <col min="5124" max="5124" width="13.140625" style="381" bestFit="1" customWidth="1"/>
    <col min="5125" max="5125" width="18" style="381" customWidth="1"/>
    <col min="5126" max="5126" width="16.140625" style="381" customWidth="1"/>
    <col min="5127" max="5127" width="17.28515625" style="381" customWidth="1"/>
    <col min="5128" max="5128" width="13.85546875" style="381" customWidth="1"/>
    <col min="5129" max="5376" width="9.140625" style="381"/>
    <col min="5377" max="5377" width="7.7109375" style="381" bestFit="1" customWidth="1"/>
    <col min="5378" max="5378" width="43.28515625" style="381" customWidth="1"/>
    <col min="5379" max="5379" width="0" style="381" hidden="1" customWidth="1"/>
    <col min="5380" max="5380" width="13.140625" style="381" bestFit="1" customWidth="1"/>
    <col min="5381" max="5381" width="18" style="381" customWidth="1"/>
    <col min="5382" max="5382" width="16.140625" style="381" customWidth="1"/>
    <col min="5383" max="5383" width="17.28515625" style="381" customWidth="1"/>
    <col min="5384" max="5384" width="13.85546875" style="381" customWidth="1"/>
    <col min="5385" max="5632" width="9.140625" style="381"/>
    <col min="5633" max="5633" width="7.7109375" style="381" bestFit="1" customWidth="1"/>
    <col min="5634" max="5634" width="43.28515625" style="381" customWidth="1"/>
    <col min="5635" max="5635" width="0" style="381" hidden="1" customWidth="1"/>
    <col min="5636" max="5636" width="13.140625" style="381" bestFit="1" customWidth="1"/>
    <col min="5637" max="5637" width="18" style="381" customWidth="1"/>
    <col min="5638" max="5638" width="16.140625" style="381" customWidth="1"/>
    <col min="5639" max="5639" width="17.28515625" style="381" customWidth="1"/>
    <col min="5640" max="5640" width="13.85546875" style="381" customWidth="1"/>
    <col min="5641" max="5888" width="9.140625" style="381"/>
    <col min="5889" max="5889" width="7.7109375" style="381" bestFit="1" customWidth="1"/>
    <col min="5890" max="5890" width="43.28515625" style="381" customWidth="1"/>
    <col min="5891" max="5891" width="0" style="381" hidden="1" customWidth="1"/>
    <col min="5892" max="5892" width="13.140625" style="381" bestFit="1" customWidth="1"/>
    <col min="5893" max="5893" width="18" style="381" customWidth="1"/>
    <col min="5894" max="5894" width="16.140625" style="381" customWidth="1"/>
    <col min="5895" max="5895" width="17.28515625" style="381" customWidth="1"/>
    <col min="5896" max="5896" width="13.85546875" style="381" customWidth="1"/>
    <col min="5897" max="6144" width="9.140625" style="381"/>
    <col min="6145" max="6145" width="7.7109375" style="381" bestFit="1" customWidth="1"/>
    <col min="6146" max="6146" width="43.28515625" style="381" customWidth="1"/>
    <col min="6147" max="6147" width="0" style="381" hidden="1" customWidth="1"/>
    <col min="6148" max="6148" width="13.140625" style="381" bestFit="1" customWidth="1"/>
    <col min="6149" max="6149" width="18" style="381" customWidth="1"/>
    <col min="6150" max="6150" width="16.140625" style="381" customWidth="1"/>
    <col min="6151" max="6151" width="17.28515625" style="381" customWidth="1"/>
    <col min="6152" max="6152" width="13.85546875" style="381" customWidth="1"/>
    <col min="6153" max="6400" width="9.140625" style="381"/>
    <col min="6401" max="6401" width="7.7109375" style="381" bestFit="1" customWidth="1"/>
    <col min="6402" max="6402" width="43.28515625" style="381" customWidth="1"/>
    <col min="6403" max="6403" width="0" style="381" hidden="1" customWidth="1"/>
    <col min="6404" max="6404" width="13.140625" style="381" bestFit="1" customWidth="1"/>
    <col min="6405" max="6405" width="18" style="381" customWidth="1"/>
    <col min="6406" max="6406" width="16.140625" style="381" customWidth="1"/>
    <col min="6407" max="6407" width="17.28515625" style="381" customWidth="1"/>
    <col min="6408" max="6408" width="13.85546875" style="381" customWidth="1"/>
    <col min="6409" max="6656" width="9.140625" style="381"/>
    <col min="6657" max="6657" width="7.7109375" style="381" bestFit="1" customWidth="1"/>
    <col min="6658" max="6658" width="43.28515625" style="381" customWidth="1"/>
    <col min="6659" max="6659" width="0" style="381" hidden="1" customWidth="1"/>
    <col min="6660" max="6660" width="13.140625" style="381" bestFit="1" customWidth="1"/>
    <col min="6661" max="6661" width="18" style="381" customWidth="1"/>
    <col min="6662" max="6662" width="16.140625" style="381" customWidth="1"/>
    <col min="6663" max="6663" width="17.28515625" style="381" customWidth="1"/>
    <col min="6664" max="6664" width="13.85546875" style="381" customWidth="1"/>
    <col min="6665" max="6912" width="9.140625" style="381"/>
    <col min="6913" max="6913" width="7.7109375" style="381" bestFit="1" customWidth="1"/>
    <col min="6914" max="6914" width="43.28515625" style="381" customWidth="1"/>
    <col min="6915" max="6915" width="0" style="381" hidden="1" customWidth="1"/>
    <col min="6916" max="6916" width="13.140625" style="381" bestFit="1" customWidth="1"/>
    <col min="6917" max="6917" width="18" style="381" customWidth="1"/>
    <col min="6918" max="6918" width="16.140625" style="381" customWidth="1"/>
    <col min="6919" max="6919" width="17.28515625" style="381" customWidth="1"/>
    <col min="6920" max="6920" width="13.85546875" style="381" customWidth="1"/>
    <col min="6921" max="7168" width="9.140625" style="381"/>
    <col min="7169" max="7169" width="7.7109375" style="381" bestFit="1" customWidth="1"/>
    <col min="7170" max="7170" width="43.28515625" style="381" customWidth="1"/>
    <col min="7171" max="7171" width="0" style="381" hidden="1" customWidth="1"/>
    <col min="7172" max="7172" width="13.140625" style="381" bestFit="1" customWidth="1"/>
    <col min="7173" max="7173" width="18" style="381" customWidth="1"/>
    <col min="7174" max="7174" width="16.140625" style="381" customWidth="1"/>
    <col min="7175" max="7175" width="17.28515625" style="381" customWidth="1"/>
    <col min="7176" max="7176" width="13.85546875" style="381" customWidth="1"/>
    <col min="7177" max="7424" width="9.140625" style="381"/>
    <col min="7425" max="7425" width="7.7109375" style="381" bestFit="1" customWidth="1"/>
    <col min="7426" max="7426" width="43.28515625" style="381" customWidth="1"/>
    <col min="7427" max="7427" width="0" style="381" hidden="1" customWidth="1"/>
    <col min="7428" max="7428" width="13.140625" style="381" bestFit="1" customWidth="1"/>
    <col min="7429" max="7429" width="18" style="381" customWidth="1"/>
    <col min="7430" max="7430" width="16.140625" style="381" customWidth="1"/>
    <col min="7431" max="7431" width="17.28515625" style="381" customWidth="1"/>
    <col min="7432" max="7432" width="13.85546875" style="381" customWidth="1"/>
    <col min="7433" max="7680" width="9.140625" style="381"/>
    <col min="7681" max="7681" width="7.7109375" style="381" bestFit="1" customWidth="1"/>
    <col min="7682" max="7682" width="43.28515625" style="381" customWidth="1"/>
    <col min="7683" max="7683" width="0" style="381" hidden="1" customWidth="1"/>
    <col min="7684" max="7684" width="13.140625" style="381" bestFit="1" customWidth="1"/>
    <col min="7685" max="7685" width="18" style="381" customWidth="1"/>
    <col min="7686" max="7686" width="16.140625" style="381" customWidth="1"/>
    <col min="7687" max="7687" width="17.28515625" style="381" customWidth="1"/>
    <col min="7688" max="7688" width="13.85546875" style="381" customWidth="1"/>
    <col min="7689" max="7936" width="9.140625" style="381"/>
    <col min="7937" max="7937" width="7.7109375" style="381" bestFit="1" customWidth="1"/>
    <col min="7938" max="7938" width="43.28515625" style="381" customWidth="1"/>
    <col min="7939" max="7939" width="0" style="381" hidden="1" customWidth="1"/>
    <col min="7940" max="7940" width="13.140625" style="381" bestFit="1" customWidth="1"/>
    <col min="7941" max="7941" width="18" style="381" customWidth="1"/>
    <col min="7942" max="7942" width="16.140625" style="381" customWidth="1"/>
    <col min="7943" max="7943" width="17.28515625" style="381" customWidth="1"/>
    <col min="7944" max="7944" width="13.85546875" style="381" customWidth="1"/>
    <col min="7945" max="8192" width="9.140625" style="381"/>
    <col min="8193" max="8193" width="7.7109375" style="381" bestFit="1" customWidth="1"/>
    <col min="8194" max="8194" width="43.28515625" style="381" customWidth="1"/>
    <col min="8195" max="8195" width="0" style="381" hidden="1" customWidth="1"/>
    <col min="8196" max="8196" width="13.140625" style="381" bestFit="1" customWidth="1"/>
    <col min="8197" max="8197" width="18" style="381" customWidth="1"/>
    <col min="8198" max="8198" width="16.140625" style="381" customWidth="1"/>
    <col min="8199" max="8199" width="17.28515625" style="381" customWidth="1"/>
    <col min="8200" max="8200" width="13.85546875" style="381" customWidth="1"/>
    <col min="8201" max="8448" width="9.140625" style="381"/>
    <col min="8449" max="8449" width="7.7109375" style="381" bestFit="1" customWidth="1"/>
    <col min="8450" max="8450" width="43.28515625" style="381" customWidth="1"/>
    <col min="8451" max="8451" width="0" style="381" hidden="1" customWidth="1"/>
    <col min="8452" max="8452" width="13.140625" style="381" bestFit="1" customWidth="1"/>
    <col min="8453" max="8453" width="18" style="381" customWidth="1"/>
    <col min="8454" max="8454" width="16.140625" style="381" customWidth="1"/>
    <col min="8455" max="8455" width="17.28515625" style="381" customWidth="1"/>
    <col min="8456" max="8456" width="13.85546875" style="381" customWidth="1"/>
    <col min="8457" max="8704" width="9.140625" style="381"/>
    <col min="8705" max="8705" width="7.7109375" style="381" bestFit="1" customWidth="1"/>
    <col min="8706" max="8706" width="43.28515625" style="381" customWidth="1"/>
    <col min="8707" max="8707" width="0" style="381" hidden="1" customWidth="1"/>
    <col min="8708" max="8708" width="13.140625" style="381" bestFit="1" customWidth="1"/>
    <col min="8709" max="8709" width="18" style="381" customWidth="1"/>
    <col min="8710" max="8710" width="16.140625" style="381" customWidth="1"/>
    <col min="8711" max="8711" width="17.28515625" style="381" customWidth="1"/>
    <col min="8712" max="8712" width="13.85546875" style="381" customWidth="1"/>
    <col min="8713" max="8960" width="9.140625" style="381"/>
    <col min="8961" max="8961" width="7.7109375" style="381" bestFit="1" customWidth="1"/>
    <col min="8962" max="8962" width="43.28515625" style="381" customWidth="1"/>
    <col min="8963" max="8963" width="0" style="381" hidden="1" customWidth="1"/>
    <col min="8964" max="8964" width="13.140625" style="381" bestFit="1" customWidth="1"/>
    <col min="8965" max="8965" width="18" style="381" customWidth="1"/>
    <col min="8966" max="8966" width="16.140625" style="381" customWidth="1"/>
    <col min="8967" max="8967" width="17.28515625" style="381" customWidth="1"/>
    <col min="8968" max="8968" width="13.85546875" style="381" customWidth="1"/>
    <col min="8969" max="9216" width="9.140625" style="381"/>
    <col min="9217" max="9217" width="7.7109375" style="381" bestFit="1" customWidth="1"/>
    <col min="9218" max="9218" width="43.28515625" style="381" customWidth="1"/>
    <col min="9219" max="9219" width="0" style="381" hidden="1" customWidth="1"/>
    <col min="9220" max="9220" width="13.140625" style="381" bestFit="1" customWidth="1"/>
    <col min="9221" max="9221" width="18" style="381" customWidth="1"/>
    <col min="9222" max="9222" width="16.140625" style="381" customWidth="1"/>
    <col min="9223" max="9223" width="17.28515625" style="381" customWidth="1"/>
    <col min="9224" max="9224" width="13.85546875" style="381" customWidth="1"/>
    <col min="9225" max="9472" width="9.140625" style="381"/>
    <col min="9473" max="9473" width="7.7109375" style="381" bestFit="1" customWidth="1"/>
    <col min="9474" max="9474" width="43.28515625" style="381" customWidth="1"/>
    <col min="9475" max="9475" width="0" style="381" hidden="1" customWidth="1"/>
    <col min="9476" max="9476" width="13.140625" style="381" bestFit="1" customWidth="1"/>
    <col min="9477" max="9477" width="18" style="381" customWidth="1"/>
    <col min="9478" max="9478" width="16.140625" style="381" customWidth="1"/>
    <col min="9479" max="9479" width="17.28515625" style="381" customWidth="1"/>
    <col min="9480" max="9480" width="13.85546875" style="381" customWidth="1"/>
    <col min="9481" max="9728" width="9.140625" style="381"/>
    <col min="9729" max="9729" width="7.7109375" style="381" bestFit="1" customWidth="1"/>
    <col min="9730" max="9730" width="43.28515625" style="381" customWidth="1"/>
    <col min="9731" max="9731" width="0" style="381" hidden="1" customWidth="1"/>
    <col min="9732" max="9732" width="13.140625" style="381" bestFit="1" customWidth="1"/>
    <col min="9733" max="9733" width="18" style="381" customWidth="1"/>
    <col min="9734" max="9734" width="16.140625" style="381" customWidth="1"/>
    <col min="9735" max="9735" width="17.28515625" style="381" customWidth="1"/>
    <col min="9736" max="9736" width="13.85546875" style="381" customWidth="1"/>
    <col min="9737" max="9984" width="9.140625" style="381"/>
    <col min="9985" max="9985" width="7.7109375" style="381" bestFit="1" customWidth="1"/>
    <col min="9986" max="9986" width="43.28515625" style="381" customWidth="1"/>
    <col min="9987" max="9987" width="0" style="381" hidden="1" customWidth="1"/>
    <col min="9988" max="9988" width="13.140625" style="381" bestFit="1" customWidth="1"/>
    <col min="9989" max="9989" width="18" style="381" customWidth="1"/>
    <col min="9990" max="9990" width="16.140625" style="381" customWidth="1"/>
    <col min="9991" max="9991" width="17.28515625" style="381" customWidth="1"/>
    <col min="9992" max="9992" width="13.85546875" style="381" customWidth="1"/>
    <col min="9993" max="10240" width="9.140625" style="381"/>
    <col min="10241" max="10241" width="7.7109375" style="381" bestFit="1" customWidth="1"/>
    <col min="10242" max="10242" width="43.28515625" style="381" customWidth="1"/>
    <col min="10243" max="10243" width="0" style="381" hidden="1" customWidth="1"/>
    <col min="10244" max="10244" width="13.140625" style="381" bestFit="1" customWidth="1"/>
    <col min="10245" max="10245" width="18" style="381" customWidth="1"/>
    <col min="10246" max="10246" width="16.140625" style="381" customWidth="1"/>
    <col min="10247" max="10247" width="17.28515625" style="381" customWidth="1"/>
    <col min="10248" max="10248" width="13.85546875" style="381" customWidth="1"/>
    <col min="10249" max="10496" width="9.140625" style="381"/>
    <col min="10497" max="10497" width="7.7109375" style="381" bestFit="1" customWidth="1"/>
    <col min="10498" max="10498" width="43.28515625" style="381" customWidth="1"/>
    <col min="10499" max="10499" width="0" style="381" hidden="1" customWidth="1"/>
    <col min="10500" max="10500" width="13.140625" style="381" bestFit="1" customWidth="1"/>
    <col min="10501" max="10501" width="18" style="381" customWidth="1"/>
    <col min="10502" max="10502" width="16.140625" style="381" customWidth="1"/>
    <col min="10503" max="10503" width="17.28515625" style="381" customWidth="1"/>
    <col min="10504" max="10504" width="13.85546875" style="381" customWidth="1"/>
    <col min="10505" max="10752" width="9.140625" style="381"/>
    <col min="10753" max="10753" width="7.7109375" style="381" bestFit="1" customWidth="1"/>
    <col min="10754" max="10754" width="43.28515625" style="381" customWidth="1"/>
    <col min="10755" max="10755" width="0" style="381" hidden="1" customWidth="1"/>
    <col min="10756" max="10756" width="13.140625" style="381" bestFit="1" customWidth="1"/>
    <col min="10757" max="10757" width="18" style="381" customWidth="1"/>
    <col min="10758" max="10758" width="16.140625" style="381" customWidth="1"/>
    <col min="10759" max="10759" width="17.28515625" style="381" customWidth="1"/>
    <col min="10760" max="10760" width="13.85546875" style="381" customWidth="1"/>
    <col min="10761" max="11008" width="9.140625" style="381"/>
    <col min="11009" max="11009" width="7.7109375" style="381" bestFit="1" customWidth="1"/>
    <col min="11010" max="11010" width="43.28515625" style="381" customWidth="1"/>
    <col min="11011" max="11011" width="0" style="381" hidden="1" customWidth="1"/>
    <col min="11012" max="11012" width="13.140625" style="381" bestFit="1" customWidth="1"/>
    <col min="11013" max="11013" width="18" style="381" customWidth="1"/>
    <col min="11014" max="11014" width="16.140625" style="381" customWidth="1"/>
    <col min="11015" max="11015" width="17.28515625" style="381" customWidth="1"/>
    <col min="11016" max="11016" width="13.85546875" style="381" customWidth="1"/>
    <col min="11017" max="11264" width="9.140625" style="381"/>
    <col min="11265" max="11265" width="7.7109375" style="381" bestFit="1" customWidth="1"/>
    <col min="11266" max="11266" width="43.28515625" style="381" customWidth="1"/>
    <col min="11267" max="11267" width="0" style="381" hidden="1" customWidth="1"/>
    <col min="11268" max="11268" width="13.140625" style="381" bestFit="1" customWidth="1"/>
    <col min="11269" max="11269" width="18" style="381" customWidth="1"/>
    <col min="11270" max="11270" width="16.140625" style="381" customWidth="1"/>
    <col min="11271" max="11271" width="17.28515625" style="381" customWidth="1"/>
    <col min="11272" max="11272" width="13.85546875" style="381" customWidth="1"/>
    <col min="11273" max="11520" width="9.140625" style="381"/>
    <col min="11521" max="11521" width="7.7109375" style="381" bestFit="1" customWidth="1"/>
    <col min="11522" max="11522" width="43.28515625" style="381" customWidth="1"/>
    <col min="11523" max="11523" width="0" style="381" hidden="1" customWidth="1"/>
    <col min="11524" max="11524" width="13.140625" style="381" bestFit="1" customWidth="1"/>
    <col min="11525" max="11525" width="18" style="381" customWidth="1"/>
    <col min="11526" max="11526" width="16.140625" style="381" customWidth="1"/>
    <col min="11527" max="11527" width="17.28515625" style="381" customWidth="1"/>
    <col min="11528" max="11528" width="13.85546875" style="381" customWidth="1"/>
    <col min="11529" max="11776" width="9.140625" style="381"/>
    <col min="11777" max="11777" width="7.7109375" style="381" bestFit="1" customWidth="1"/>
    <col min="11778" max="11778" width="43.28515625" style="381" customWidth="1"/>
    <col min="11779" max="11779" width="0" style="381" hidden="1" customWidth="1"/>
    <col min="11780" max="11780" width="13.140625" style="381" bestFit="1" customWidth="1"/>
    <col min="11781" max="11781" width="18" style="381" customWidth="1"/>
    <col min="11782" max="11782" width="16.140625" style="381" customWidth="1"/>
    <col min="11783" max="11783" width="17.28515625" style="381" customWidth="1"/>
    <col min="11784" max="11784" width="13.85546875" style="381" customWidth="1"/>
    <col min="11785" max="12032" width="9.140625" style="381"/>
    <col min="12033" max="12033" width="7.7109375" style="381" bestFit="1" customWidth="1"/>
    <col min="12034" max="12034" width="43.28515625" style="381" customWidth="1"/>
    <col min="12035" max="12035" width="0" style="381" hidden="1" customWidth="1"/>
    <col min="12036" max="12036" width="13.140625" style="381" bestFit="1" customWidth="1"/>
    <col min="12037" max="12037" width="18" style="381" customWidth="1"/>
    <col min="12038" max="12038" width="16.140625" style="381" customWidth="1"/>
    <col min="12039" max="12039" width="17.28515625" style="381" customWidth="1"/>
    <col min="12040" max="12040" width="13.85546875" style="381" customWidth="1"/>
    <col min="12041" max="12288" width="9.140625" style="381"/>
    <col min="12289" max="12289" width="7.7109375" style="381" bestFit="1" customWidth="1"/>
    <col min="12290" max="12290" width="43.28515625" style="381" customWidth="1"/>
    <col min="12291" max="12291" width="0" style="381" hidden="1" customWidth="1"/>
    <col min="12292" max="12292" width="13.140625" style="381" bestFit="1" customWidth="1"/>
    <col min="12293" max="12293" width="18" style="381" customWidth="1"/>
    <col min="12294" max="12294" width="16.140625" style="381" customWidth="1"/>
    <col min="12295" max="12295" width="17.28515625" style="381" customWidth="1"/>
    <col min="12296" max="12296" width="13.85546875" style="381" customWidth="1"/>
    <col min="12297" max="12544" width="9.140625" style="381"/>
    <col min="12545" max="12545" width="7.7109375" style="381" bestFit="1" customWidth="1"/>
    <col min="12546" max="12546" width="43.28515625" style="381" customWidth="1"/>
    <col min="12547" max="12547" width="0" style="381" hidden="1" customWidth="1"/>
    <col min="12548" max="12548" width="13.140625" style="381" bestFit="1" customWidth="1"/>
    <col min="12549" max="12549" width="18" style="381" customWidth="1"/>
    <col min="12550" max="12550" width="16.140625" style="381" customWidth="1"/>
    <col min="12551" max="12551" width="17.28515625" style="381" customWidth="1"/>
    <col min="12552" max="12552" width="13.85546875" style="381" customWidth="1"/>
    <col min="12553" max="12800" width="9.140625" style="381"/>
    <col min="12801" max="12801" width="7.7109375" style="381" bestFit="1" customWidth="1"/>
    <col min="12802" max="12802" width="43.28515625" style="381" customWidth="1"/>
    <col min="12803" max="12803" width="0" style="381" hidden="1" customWidth="1"/>
    <col min="12804" max="12804" width="13.140625" style="381" bestFit="1" customWidth="1"/>
    <col min="12805" max="12805" width="18" style="381" customWidth="1"/>
    <col min="12806" max="12806" width="16.140625" style="381" customWidth="1"/>
    <col min="12807" max="12807" width="17.28515625" style="381" customWidth="1"/>
    <col min="12808" max="12808" width="13.85546875" style="381" customWidth="1"/>
    <col min="12809" max="13056" width="9.140625" style="381"/>
    <col min="13057" max="13057" width="7.7109375" style="381" bestFit="1" customWidth="1"/>
    <col min="13058" max="13058" width="43.28515625" style="381" customWidth="1"/>
    <col min="13059" max="13059" width="0" style="381" hidden="1" customWidth="1"/>
    <col min="13060" max="13060" width="13.140625" style="381" bestFit="1" customWidth="1"/>
    <col min="13061" max="13061" width="18" style="381" customWidth="1"/>
    <col min="13062" max="13062" width="16.140625" style="381" customWidth="1"/>
    <col min="13063" max="13063" width="17.28515625" style="381" customWidth="1"/>
    <col min="13064" max="13064" width="13.85546875" style="381" customWidth="1"/>
    <col min="13065" max="13312" width="9.140625" style="381"/>
    <col min="13313" max="13313" width="7.7109375" style="381" bestFit="1" customWidth="1"/>
    <col min="13314" max="13314" width="43.28515625" style="381" customWidth="1"/>
    <col min="13315" max="13315" width="0" style="381" hidden="1" customWidth="1"/>
    <col min="13316" max="13316" width="13.140625" style="381" bestFit="1" customWidth="1"/>
    <col min="13317" max="13317" width="18" style="381" customWidth="1"/>
    <col min="13318" max="13318" width="16.140625" style="381" customWidth="1"/>
    <col min="13319" max="13319" width="17.28515625" style="381" customWidth="1"/>
    <col min="13320" max="13320" width="13.85546875" style="381" customWidth="1"/>
    <col min="13321" max="13568" width="9.140625" style="381"/>
    <col min="13569" max="13569" width="7.7109375" style="381" bestFit="1" customWidth="1"/>
    <col min="13570" max="13570" width="43.28515625" style="381" customWidth="1"/>
    <col min="13571" max="13571" width="0" style="381" hidden="1" customWidth="1"/>
    <col min="13572" max="13572" width="13.140625" style="381" bestFit="1" customWidth="1"/>
    <col min="13573" max="13573" width="18" style="381" customWidth="1"/>
    <col min="13574" max="13574" width="16.140625" style="381" customWidth="1"/>
    <col min="13575" max="13575" width="17.28515625" style="381" customWidth="1"/>
    <col min="13576" max="13576" width="13.85546875" style="381" customWidth="1"/>
    <col min="13577" max="13824" width="9.140625" style="381"/>
    <col min="13825" max="13825" width="7.7109375" style="381" bestFit="1" customWidth="1"/>
    <col min="13826" max="13826" width="43.28515625" style="381" customWidth="1"/>
    <col min="13827" max="13827" width="0" style="381" hidden="1" customWidth="1"/>
    <col min="13828" max="13828" width="13.140625" style="381" bestFit="1" customWidth="1"/>
    <col min="13829" max="13829" width="18" style="381" customWidth="1"/>
    <col min="13830" max="13830" width="16.140625" style="381" customWidth="1"/>
    <col min="13831" max="13831" width="17.28515625" style="381" customWidth="1"/>
    <col min="13832" max="13832" width="13.85546875" style="381" customWidth="1"/>
    <col min="13833" max="14080" width="9.140625" style="381"/>
    <col min="14081" max="14081" width="7.7109375" style="381" bestFit="1" customWidth="1"/>
    <col min="14082" max="14082" width="43.28515625" style="381" customWidth="1"/>
    <col min="14083" max="14083" width="0" style="381" hidden="1" customWidth="1"/>
    <col min="14084" max="14084" width="13.140625" style="381" bestFit="1" customWidth="1"/>
    <col min="14085" max="14085" width="18" style="381" customWidth="1"/>
    <col min="14086" max="14086" width="16.140625" style="381" customWidth="1"/>
    <col min="14087" max="14087" width="17.28515625" style="381" customWidth="1"/>
    <col min="14088" max="14088" width="13.85546875" style="381" customWidth="1"/>
    <col min="14089" max="14336" width="9.140625" style="381"/>
    <col min="14337" max="14337" width="7.7109375" style="381" bestFit="1" customWidth="1"/>
    <col min="14338" max="14338" width="43.28515625" style="381" customWidth="1"/>
    <col min="14339" max="14339" width="0" style="381" hidden="1" customWidth="1"/>
    <col min="14340" max="14340" width="13.140625" style="381" bestFit="1" customWidth="1"/>
    <col min="14341" max="14341" width="18" style="381" customWidth="1"/>
    <col min="14342" max="14342" width="16.140625" style="381" customWidth="1"/>
    <col min="14343" max="14343" width="17.28515625" style="381" customWidth="1"/>
    <col min="14344" max="14344" width="13.85546875" style="381" customWidth="1"/>
    <col min="14345" max="14592" width="9.140625" style="381"/>
    <col min="14593" max="14593" width="7.7109375" style="381" bestFit="1" customWidth="1"/>
    <col min="14594" max="14594" width="43.28515625" style="381" customWidth="1"/>
    <col min="14595" max="14595" width="0" style="381" hidden="1" customWidth="1"/>
    <col min="14596" max="14596" width="13.140625" style="381" bestFit="1" customWidth="1"/>
    <col min="14597" max="14597" width="18" style="381" customWidth="1"/>
    <col min="14598" max="14598" width="16.140625" style="381" customWidth="1"/>
    <col min="14599" max="14599" width="17.28515625" style="381" customWidth="1"/>
    <col min="14600" max="14600" width="13.85546875" style="381" customWidth="1"/>
    <col min="14601" max="14848" width="9.140625" style="381"/>
    <col min="14849" max="14849" width="7.7109375" style="381" bestFit="1" customWidth="1"/>
    <col min="14850" max="14850" width="43.28515625" style="381" customWidth="1"/>
    <col min="14851" max="14851" width="0" style="381" hidden="1" customWidth="1"/>
    <col min="14852" max="14852" width="13.140625" style="381" bestFit="1" customWidth="1"/>
    <col min="14853" max="14853" width="18" style="381" customWidth="1"/>
    <col min="14854" max="14854" width="16.140625" style="381" customWidth="1"/>
    <col min="14855" max="14855" width="17.28515625" style="381" customWidth="1"/>
    <col min="14856" max="14856" width="13.85546875" style="381" customWidth="1"/>
    <col min="14857" max="15104" width="9.140625" style="381"/>
    <col min="15105" max="15105" width="7.7109375" style="381" bestFit="1" customWidth="1"/>
    <col min="15106" max="15106" width="43.28515625" style="381" customWidth="1"/>
    <col min="15107" max="15107" width="0" style="381" hidden="1" customWidth="1"/>
    <col min="15108" max="15108" width="13.140625" style="381" bestFit="1" customWidth="1"/>
    <col min="15109" max="15109" width="18" style="381" customWidth="1"/>
    <col min="15110" max="15110" width="16.140625" style="381" customWidth="1"/>
    <col min="15111" max="15111" width="17.28515625" style="381" customWidth="1"/>
    <col min="15112" max="15112" width="13.85546875" style="381" customWidth="1"/>
    <col min="15113" max="15360" width="9.140625" style="381"/>
    <col min="15361" max="15361" width="7.7109375" style="381" bestFit="1" customWidth="1"/>
    <col min="15362" max="15362" width="43.28515625" style="381" customWidth="1"/>
    <col min="15363" max="15363" width="0" style="381" hidden="1" customWidth="1"/>
    <col min="15364" max="15364" width="13.140625" style="381" bestFit="1" customWidth="1"/>
    <col min="15365" max="15365" width="18" style="381" customWidth="1"/>
    <col min="15366" max="15366" width="16.140625" style="381" customWidth="1"/>
    <col min="15367" max="15367" width="17.28515625" style="381" customWidth="1"/>
    <col min="15368" max="15368" width="13.85546875" style="381" customWidth="1"/>
    <col min="15369" max="15616" width="9.140625" style="381"/>
    <col min="15617" max="15617" width="7.7109375" style="381" bestFit="1" customWidth="1"/>
    <col min="15618" max="15618" width="43.28515625" style="381" customWidth="1"/>
    <col min="15619" max="15619" width="0" style="381" hidden="1" customWidth="1"/>
    <col min="15620" max="15620" width="13.140625" style="381" bestFit="1" customWidth="1"/>
    <col min="15621" max="15621" width="18" style="381" customWidth="1"/>
    <col min="15622" max="15622" width="16.140625" style="381" customWidth="1"/>
    <col min="15623" max="15623" width="17.28515625" style="381" customWidth="1"/>
    <col min="15624" max="15624" width="13.85546875" style="381" customWidth="1"/>
    <col min="15625" max="15872" width="9.140625" style="381"/>
    <col min="15873" max="15873" width="7.7109375" style="381" bestFit="1" customWidth="1"/>
    <col min="15874" max="15874" width="43.28515625" style="381" customWidth="1"/>
    <col min="15875" max="15875" width="0" style="381" hidden="1" customWidth="1"/>
    <col min="15876" max="15876" width="13.140625" style="381" bestFit="1" customWidth="1"/>
    <col min="15877" max="15877" width="18" style="381" customWidth="1"/>
    <col min="15878" max="15878" width="16.140625" style="381" customWidth="1"/>
    <col min="15879" max="15879" width="17.28515625" style="381" customWidth="1"/>
    <col min="15880" max="15880" width="13.85546875" style="381" customWidth="1"/>
    <col min="15881" max="16128" width="9.140625" style="381"/>
    <col min="16129" max="16129" width="7.7109375" style="381" bestFit="1" customWidth="1"/>
    <col min="16130" max="16130" width="43.28515625" style="381" customWidth="1"/>
    <col min="16131" max="16131" width="0" style="381" hidden="1" customWidth="1"/>
    <col min="16132" max="16132" width="13.140625" style="381" bestFit="1" customWidth="1"/>
    <col min="16133" max="16133" width="18" style="381" customWidth="1"/>
    <col min="16134" max="16134" width="16.140625" style="381" customWidth="1"/>
    <col min="16135" max="16135" width="17.28515625" style="381" customWidth="1"/>
    <col min="16136" max="16136" width="13.85546875" style="381" customWidth="1"/>
    <col min="16137" max="16384" width="9.140625" style="381"/>
  </cols>
  <sheetData>
    <row r="1" spans="1:8" x14ac:dyDescent="0.2">
      <c r="A1" s="601" t="s">
        <v>580</v>
      </c>
      <c r="B1" s="601"/>
      <c r="C1" s="601"/>
      <c r="D1" s="601"/>
      <c r="E1" s="601"/>
      <c r="F1" s="601"/>
      <c r="G1" s="601"/>
      <c r="H1" s="601"/>
    </row>
    <row r="2" spans="1:8" x14ac:dyDescent="0.2">
      <c r="A2" s="602" t="s">
        <v>581</v>
      </c>
      <c r="B2" s="602"/>
      <c r="C2" s="602"/>
      <c r="D2" s="602"/>
      <c r="E2" s="602"/>
      <c r="F2" s="602"/>
      <c r="G2" s="602"/>
      <c r="H2" s="602"/>
    </row>
    <row r="3" spans="1:8" x14ac:dyDescent="0.2">
      <c r="A3" s="390"/>
      <c r="B3" s="390"/>
      <c r="C3" s="390"/>
      <c r="D3" s="390"/>
      <c r="E3" s="390"/>
      <c r="F3" s="391" t="s">
        <v>598</v>
      </c>
      <c r="G3" s="390"/>
      <c r="H3" s="390"/>
    </row>
    <row r="4" spans="1:8" ht="35.1" customHeight="1" x14ac:dyDescent="0.2">
      <c r="A4" s="603" t="s">
        <v>197</v>
      </c>
      <c r="B4" s="603" t="s">
        <v>273</v>
      </c>
      <c r="C4" s="603" t="s">
        <v>582</v>
      </c>
      <c r="D4" s="603" t="s">
        <v>583</v>
      </c>
      <c r="E4" s="603" t="s">
        <v>584</v>
      </c>
      <c r="F4" s="603" t="s">
        <v>585</v>
      </c>
      <c r="G4" s="603" t="s">
        <v>586</v>
      </c>
      <c r="H4" s="604" t="s">
        <v>587</v>
      </c>
    </row>
    <row r="5" spans="1:8" ht="35.1" customHeight="1" x14ac:dyDescent="0.2">
      <c r="A5" s="603"/>
      <c r="B5" s="603"/>
      <c r="C5" s="603"/>
      <c r="D5" s="603"/>
      <c r="E5" s="603"/>
      <c r="F5" s="603"/>
      <c r="G5" s="603"/>
      <c r="H5" s="604"/>
    </row>
    <row r="6" spans="1:8" x14ac:dyDescent="0.2">
      <c r="A6" s="382">
        <v>1</v>
      </c>
      <c r="B6" s="383" t="s">
        <v>588</v>
      </c>
      <c r="C6" s="382">
        <v>18</v>
      </c>
      <c r="D6" s="382">
        <v>292</v>
      </c>
      <c r="E6" s="382">
        <v>324</v>
      </c>
      <c r="F6" s="382">
        <v>310</v>
      </c>
      <c r="G6" s="382">
        <v>310</v>
      </c>
      <c r="H6" s="384">
        <f t="shared" ref="H6:H26" si="0">G6*100/D6</f>
        <v>106.16438356164383</v>
      </c>
    </row>
    <row r="7" spans="1:8" x14ac:dyDescent="0.2">
      <c r="A7" s="382">
        <v>2</v>
      </c>
      <c r="B7" s="383" t="s">
        <v>589</v>
      </c>
      <c r="C7" s="382">
        <v>19</v>
      </c>
      <c r="D7" s="382">
        <v>430</v>
      </c>
      <c r="E7" s="382">
        <v>538</v>
      </c>
      <c r="F7" s="382">
        <v>444</v>
      </c>
      <c r="G7" s="382">
        <v>444</v>
      </c>
      <c r="H7" s="384">
        <f t="shared" si="0"/>
        <v>103.25581395348837</v>
      </c>
    </row>
    <row r="8" spans="1:8" x14ac:dyDescent="0.2">
      <c r="A8" s="382">
        <v>3</v>
      </c>
      <c r="B8" s="383" t="s">
        <v>590</v>
      </c>
      <c r="C8" s="382">
        <v>32</v>
      </c>
      <c r="D8" s="382">
        <v>593</v>
      </c>
      <c r="E8" s="382">
        <v>791</v>
      </c>
      <c r="F8" s="382">
        <v>680</v>
      </c>
      <c r="G8" s="382">
        <v>493</v>
      </c>
      <c r="H8" s="384">
        <f t="shared" si="0"/>
        <v>83.136593591905566</v>
      </c>
    </row>
    <row r="9" spans="1:8" x14ac:dyDescent="0.2">
      <c r="A9" s="382">
        <v>4</v>
      </c>
      <c r="B9" s="385" t="s">
        <v>591</v>
      </c>
      <c r="C9" s="382">
        <v>171</v>
      </c>
      <c r="D9" s="382">
        <v>3887</v>
      </c>
      <c r="E9" s="382">
        <v>4950</v>
      </c>
      <c r="F9" s="382">
        <v>3471</v>
      </c>
      <c r="G9" s="382">
        <v>3064</v>
      </c>
      <c r="H9" s="384">
        <f t="shared" si="0"/>
        <v>78.826858759969127</v>
      </c>
    </row>
    <row r="10" spans="1:8" x14ac:dyDescent="0.2">
      <c r="A10" s="382">
        <v>5</v>
      </c>
      <c r="B10" s="385" t="s">
        <v>55</v>
      </c>
      <c r="C10" s="382">
        <v>127</v>
      </c>
      <c r="D10" s="382">
        <v>2699</v>
      </c>
      <c r="E10" s="382">
        <v>3544</v>
      </c>
      <c r="F10" s="382">
        <v>2410</v>
      </c>
      <c r="G10" s="382">
        <v>2117</v>
      </c>
      <c r="H10" s="384">
        <f t="shared" si="0"/>
        <v>78.436457947387922</v>
      </c>
    </row>
    <row r="11" spans="1:8" x14ac:dyDescent="0.2">
      <c r="A11" s="382">
        <v>6</v>
      </c>
      <c r="B11" s="383" t="s">
        <v>592</v>
      </c>
      <c r="C11" s="382">
        <v>14</v>
      </c>
      <c r="D11" s="382">
        <v>260</v>
      </c>
      <c r="E11" s="382">
        <v>342</v>
      </c>
      <c r="F11" s="382">
        <v>232</v>
      </c>
      <c r="G11" s="382">
        <v>168</v>
      </c>
      <c r="H11" s="384">
        <f t="shared" si="0"/>
        <v>64.615384615384613</v>
      </c>
    </row>
    <row r="12" spans="1:8" x14ac:dyDescent="0.2">
      <c r="A12" s="382">
        <v>7</v>
      </c>
      <c r="B12" s="385" t="s">
        <v>58</v>
      </c>
      <c r="C12" s="382">
        <v>277</v>
      </c>
      <c r="D12" s="382">
        <v>5687</v>
      </c>
      <c r="E12" s="382">
        <v>8505</v>
      </c>
      <c r="F12" s="382">
        <v>5078</v>
      </c>
      <c r="G12" s="382">
        <v>3421</v>
      </c>
      <c r="H12" s="384">
        <f t="shared" si="0"/>
        <v>60.154738878143135</v>
      </c>
    </row>
    <row r="13" spans="1:8" x14ac:dyDescent="0.2">
      <c r="A13" s="382">
        <v>8</v>
      </c>
      <c r="B13" s="385" t="s">
        <v>593</v>
      </c>
      <c r="C13" s="382">
        <v>407</v>
      </c>
      <c r="D13" s="382">
        <v>9149</v>
      </c>
      <c r="E13" s="382">
        <v>13680</v>
      </c>
      <c r="F13" s="382">
        <v>8169</v>
      </c>
      <c r="G13" s="382">
        <v>4867</v>
      </c>
      <c r="H13" s="384">
        <f t="shared" si="0"/>
        <v>53.19707071811127</v>
      </c>
    </row>
    <row r="14" spans="1:8" x14ac:dyDescent="0.2">
      <c r="A14" s="382">
        <v>9</v>
      </c>
      <c r="B14" s="385" t="s">
        <v>61</v>
      </c>
      <c r="C14" s="382">
        <v>385</v>
      </c>
      <c r="D14" s="382">
        <v>8953</v>
      </c>
      <c r="E14" s="382">
        <v>13757</v>
      </c>
      <c r="F14" s="382">
        <v>7994</v>
      </c>
      <c r="G14" s="382">
        <v>4738</v>
      </c>
      <c r="H14" s="384">
        <f t="shared" si="0"/>
        <v>52.920808667485758</v>
      </c>
    </row>
    <row r="15" spans="1:8" x14ac:dyDescent="0.2">
      <c r="A15" s="382">
        <v>10</v>
      </c>
      <c r="B15" s="385" t="s">
        <v>70</v>
      </c>
      <c r="C15" s="382">
        <v>690</v>
      </c>
      <c r="D15" s="382">
        <v>15773</v>
      </c>
      <c r="E15" s="382">
        <v>23619</v>
      </c>
      <c r="F15" s="382">
        <v>13489</v>
      </c>
      <c r="G15" s="382">
        <v>8104</v>
      </c>
      <c r="H15" s="384">
        <f t="shared" si="0"/>
        <v>51.378938692702718</v>
      </c>
    </row>
    <row r="16" spans="1:8" ht="30" x14ac:dyDescent="0.2">
      <c r="A16" s="382">
        <v>11</v>
      </c>
      <c r="B16" s="385" t="s">
        <v>594</v>
      </c>
      <c r="C16" s="382">
        <v>343</v>
      </c>
      <c r="D16" s="382">
        <v>6811</v>
      </c>
      <c r="E16" s="382">
        <v>7878</v>
      </c>
      <c r="F16" s="382">
        <v>6081</v>
      </c>
      <c r="G16" s="382">
        <v>3483</v>
      </c>
      <c r="H16" s="384">
        <f t="shared" si="0"/>
        <v>51.13786521802966</v>
      </c>
    </row>
    <row r="17" spans="1:8" x14ac:dyDescent="0.2">
      <c r="A17" s="382">
        <v>12</v>
      </c>
      <c r="B17" s="385" t="s">
        <v>57</v>
      </c>
      <c r="C17" s="382">
        <v>110</v>
      </c>
      <c r="D17" s="382">
        <v>2283</v>
      </c>
      <c r="E17" s="382">
        <v>3006</v>
      </c>
      <c r="F17" s="382">
        <v>2038</v>
      </c>
      <c r="G17" s="382">
        <v>1139</v>
      </c>
      <c r="H17" s="384">
        <f t="shared" si="0"/>
        <v>49.890494962768287</v>
      </c>
    </row>
    <row r="18" spans="1:8" x14ac:dyDescent="0.2">
      <c r="A18" s="382">
        <v>13</v>
      </c>
      <c r="B18" s="385" t="s">
        <v>65</v>
      </c>
      <c r="C18" s="382">
        <v>31</v>
      </c>
      <c r="D18" s="382">
        <v>698</v>
      </c>
      <c r="E18" s="382">
        <v>1116</v>
      </c>
      <c r="F18" s="382">
        <v>613</v>
      </c>
      <c r="G18" s="382">
        <v>342</v>
      </c>
      <c r="H18" s="384">
        <f t="shared" si="0"/>
        <v>48.997134670487107</v>
      </c>
    </row>
    <row r="19" spans="1:8" x14ac:dyDescent="0.2">
      <c r="A19" s="382">
        <v>14</v>
      </c>
      <c r="B19" s="385" t="s">
        <v>66</v>
      </c>
      <c r="C19" s="382">
        <v>185</v>
      </c>
      <c r="D19" s="382">
        <v>3856</v>
      </c>
      <c r="E19" s="382">
        <v>5716</v>
      </c>
      <c r="F19" s="382">
        <v>3443</v>
      </c>
      <c r="G19" s="382">
        <v>1844</v>
      </c>
      <c r="H19" s="384">
        <f t="shared" si="0"/>
        <v>47.821576763485474</v>
      </c>
    </row>
    <row r="20" spans="1:8" ht="30" x14ac:dyDescent="0.2">
      <c r="A20" s="382">
        <v>15</v>
      </c>
      <c r="B20" s="385" t="s">
        <v>595</v>
      </c>
      <c r="C20" s="382">
        <v>407</v>
      </c>
      <c r="D20" s="382">
        <v>9738</v>
      </c>
      <c r="E20" s="382">
        <v>15049</v>
      </c>
      <c r="F20" s="382">
        <v>8695</v>
      </c>
      <c r="G20" s="382">
        <v>4634</v>
      </c>
      <c r="H20" s="384">
        <f t="shared" si="0"/>
        <v>47.58677346477716</v>
      </c>
    </row>
    <row r="21" spans="1:8" x14ac:dyDescent="0.2">
      <c r="A21" s="382">
        <v>16</v>
      </c>
      <c r="B21" s="383" t="s">
        <v>596</v>
      </c>
      <c r="C21" s="382">
        <v>19</v>
      </c>
      <c r="D21" s="382">
        <v>422</v>
      </c>
      <c r="E21" s="382">
        <v>436</v>
      </c>
      <c r="F21" s="382">
        <v>377</v>
      </c>
      <c r="G21" s="382">
        <v>190</v>
      </c>
      <c r="H21" s="384">
        <f t="shared" si="0"/>
        <v>45.023696682464454</v>
      </c>
    </row>
    <row r="22" spans="1:8" x14ac:dyDescent="0.2">
      <c r="A22" s="382">
        <v>17</v>
      </c>
      <c r="B22" s="383" t="s">
        <v>597</v>
      </c>
      <c r="C22" s="382">
        <v>12</v>
      </c>
      <c r="D22" s="382">
        <v>165</v>
      </c>
      <c r="E22" s="382">
        <v>186</v>
      </c>
      <c r="F22" s="382">
        <v>147</v>
      </c>
      <c r="G22" s="382">
        <v>65</v>
      </c>
      <c r="H22" s="384">
        <f t="shared" si="0"/>
        <v>39.393939393939391</v>
      </c>
    </row>
    <row r="23" spans="1:8" x14ac:dyDescent="0.2">
      <c r="A23" s="382">
        <v>18</v>
      </c>
      <c r="B23" s="385" t="s">
        <v>63</v>
      </c>
      <c r="C23" s="382">
        <v>21</v>
      </c>
      <c r="D23" s="382">
        <v>499</v>
      </c>
      <c r="E23" s="382">
        <v>879</v>
      </c>
      <c r="F23" s="382">
        <v>446</v>
      </c>
      <c r="G23" s="386">
        <v>192</v>
      </c>
      <c r="H23" s="384">
        <f t="shared" si="0"/>
        <v>38.476953907815634</v>
      </c>
    </row>
    <row r="24" spans="1:8" x14ac:dyDescent="0.2">
      <c r="A24" s="382">
        <v>19</v>
      </c>
      <c r="B24" s="385" t="s">
        <v>59</v>
      </c>
      <c r="C24" s="382">
        <v>102</v>
      </c>
      <c r="D24" s="382">
        <v>2243</v>
      </c>
      <c r="E24" s="382">
        <v>3542</v>
      </c>
      <c r="F24" s="382">
        <v>2003</v>
      </c>
      <c r="G24" s="382">
        <v>680</v>
      </c>
      <c r="H24" s="384">
        <f t="shared" si="0"/>
        <v>30.31654034774855</v>
      </c>
    </row>
    <row r="25" spans="1:8" x14ac:dyDescent="0.2">
      <c r="A25" s="382">
        <v>20</v>
      </c>
      <c r="B25" s="385" t="s">
        <v>82</v>
      </c>
      <c r="C25" s="382">
        <v>26</v>
      </c>
      <c r="D25" s="382">
        <v>563</v>
      </c>
      <c r="E25" s="382">
        <v>676</v>
      </c>
      <c r="F25" s="382">
        <v>503</v>
      </c>
      <c r="G25" s="382">
        <v>135</v>
      </c>
      <c r="H25" s="384">
        <f t="shared" si="0"/>
        <v>23.978685612788631</v>
      </c>
    </row>
    <row r="26" spans="1:8" x14ac:dyDescent="0.2">
      <c r="A26" s="385"/>
      <c r="B26" s="387" t="s">
        <v>1</v>
      </c>
      <c r="C26" s="387">
        <v>3396</v>
      </c>
      <c r="D26" s="387">
        <f>SUM(D6:D25)</f>
        <v>75001</v>
      </c>
      <c r="E26" s="387">
        <f>SUM(E6:E25)</f>
        <v>108534</v>
      </c>
      <c r="F26" s="387">
        <f>SUM(F6:F25)</f>
        <v>66623</v>
      </c>
      <c r="G26" s="387">
        <f>SUM(G6:G25)</f>
        <v>40430</v>
      </c>
      <c r="H26" s="388">
        <f t="shared" si="0"/>
        <v>53.905947920694388</v>
      </c>
    </row>
    <row r="29" spans="1:8" x14ac:dyDescent="0.2">
      <c r="B29" s="422" t="s">
        <v>1239</v>
      </c>
    </row>
  </sheetData>
  <mergeCells count="10">
    <mergeCell ref="A1:H1"/>
    <mergeCell ref="A2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scale="85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view="pageBreakPreview" zoomScale="60" zoomScaleNormal="100" workbookViewId="0">
      <pane xSplit="3" ySplit="5" topLeftCell="D36" activePane="bottomRight" state="frozen"/>
      <selection pane="topRight" activeCell="D1" sqref="D1"/>
      <selection pane="bottomLeft" activeCell="A4" sqref="A4"/>
      <selection pane="bottomRight" activeCell="B65" sqref="B65"/>
    </sheetView>
  </sheetViews>
  <sheetFormatPr defaultRowHeight="15" x14ac:dyDescent="0.25"/>
  <cols>
    <col min="1" max="1" width="6.5703125" style="328" bestFit="1" customWidth="1"/>
    <col min="2" max="2" width="25" style="328" customWidth="1"/>
    <col min="3" max="3" width="8.7109375" style="328" bestFit="1" customWidth="1"/>
    <col min="4" max="5" width="8.5703125" style="328" customWidth="1"/>
    <col min="6" max="6" width="9.140625" style="328"/>
    <col min="7" max="7" width="8.5703125" style="328" customWidth="1"/>
    <col min="8" max="8" width="9.140625" style="328"/>
    <col min="9" max="9" width="8.28515625" style="328" customWidth="1"/>
    <col min="10" max="10" width="9.140625" style="328"/>
    <col min="11" max="11" width="8.28515625" style="328" customWidth="1"/>
    <col min="12" max="16384" width="9.140625" style="328"/>
  </cols>
  <sheetData>
    <row r="1" spans="1:11" x14ac:dyDescent="0.25">
      <c r="A1" s="605" t="s">
        <v>1241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</row>
    <row r="2" spans="1:11" x14ac:dyDescent="0.25">
      <c r="A2" s="606" t="s">
        <v>613</v>
      </c>
      <c r="B2" s="606"/>
      <c r="C2" s="606"/>
      <c r="D2" s="606"/>
      <c r="E2" s="606"/>
      <c r="F2" s="606"/>
      <c r="G2" s="606"/>
      <c r="H2" s="606"/>
      <c r="I2" s="606"/>
      <c r="J2" s="606"/>
      <c r="K2" s="607"/>
    </row>
    <row r="3" spans="1:11" x14ac:dyDescent="0.25">
      <c r="A3" s="393"/>
      <c r="B3" s="393"/>
      <c r="C3" s="393"/>
      <c r="D3" s="394"/>
      <c r="E3" s="394"/>
      <c r="F3" s="394"/>
      <c r="G3" s="394"/>
      <c r="H3" s="608" t="s">
        <v>614</v>
      </c>
      <c r="I3" s="609"/>
      <c r="J3" s="610"/>
      <c r="K3" s="394"/>
    </row>
    <row r="4" spans="1:11" x14ac:dyDescent="0.25">
      <c r="A4" s="395"/>
      <c r="B4" s="395"/>
      <c r="C4" s="395"/>
      <c r="D4" s="605" t="s">
        <v>601</v>
      </c>
      <c r="E4" s="605"/>
      <c r="F4" s="605" t="s">
        <v>602</v>
      </c>
      <c r="G4" s="605"/>
      <c r="H4" s="605" t="s">
        <v>603</v>
      </c>
      <c r="I4" s="605"/>
      <c r="J4" s="605" t="s">
        <v>0</v>
      </c>
      <c r="K4" s="605"/>
    </row>
    <row r="5" spans="1:11" ht="33.75" customHeight="1" x14ac:dyDescent="0.25">
      <c r="A5" s="60" t="s">
        <v>604</v>
      </c>
      <c r="B5" s="60" t="s">
        <v>605</v>
      </c>
      <c r="C5" s="396" t="s">
        <v>606</v>
      </c>
      <c r="D5" s="60" t="s">
        <v>124</v>
      </c>
      <c r="E5" s="60" t="s">
        <v>99</v>
      </c>
      <c r="F5" s="60" t="s">
        <v>124</v>
      </c>
      <c r="G5" s="60" t="s">
        <v>99</v>
      </c>
      <c r="H5" s="60" t="s">
        <v>124</v>
      </c>
      <c r="I5" s="60" t="s">
        <v>99</v>
      </c>
      <c r="J5" s="60" t="s">
        <v>124</v>
      </c>
      <c r="K5" s="60" t="s">
        <v>99</v>
      </c>
    </row>
    <row r="6" spans="1:11" x14ac:dyDescent="0.25">
      <c r="A6" s="397">
        <v>1</v>
      </c>
      <c r="B6" s="91" t="s">
        <v>55</v>
      </c>
      <c r="C6" s="91">
        <v>144</v>
      </c>
      <c r="D6" s="91">
        <v>568</v>
      </c>
      <c r="E6" s="91">
        <v>1.63</v>
      </c>
      <c r="F6" s="91">
        <v>1387</v>
      </c>
      <c r="G6" s="91">
        <v>27.31</v>
      </c>
      <c r="H6" s="91">
        <v>392</v>
      </c>
      <c r="I6" s="91">
        <v>23.08</v>
      </c>
      <c r="J6" s="91">
        <f>D6+F6+H6</f>
        <v>2347</v>
      </c>
      <c r="K6" s="91">
        <f>E6+G6+I6</f>
        <v>52.019999999999996</v>
      </c>
    </row>
    <row r="7" spans="1:11" x14ac:dyDescent="0.25">
      <c r="A7" s="397">
        <v>2</v>
      </c>
      <c r="B7" s="91" t="s">
        <v>56</v>
      </c>
      <c r="C7" s="91">
        <v>35.450000000000003</v>
      </c>
      <c r="D7" s="91">
        <v>1600</v>
      </c>
      <c r="E7" s="91">
        <v>5.45</v>
      </c>
      <c r="F7" s="91">
        <v>735</v>
      </c>
      <c r="G7" s="91">
        <v>16.18</v>
      </c>
      <c r="H7" s="91">
        <v>170</v>
      </c>
      <c r="I7" s="91">
        <v>14.55</v>
      </c>
      <c r="J7" s="91">
        <f t="shared" ref="J7:K26" si="0">D7+F7+H7</f>
        <v>2505</v>
      </c>
      <c r="K7" s="91">
        <f t="shared" si="0"/>
        <v>36.18</v>
      </c>
    </row>
    <row r="8" spans="1:11" x14ac:dyDescent="0.25">
      <c r="A8" s="397">
        <v>3</v>
      </c>
      <c r="B8" s="91" t="s">
        <v>57</v>
      </c>
      <c r="C8" s="91">
        <v>177</v>
      </c>
      <c r="D8" s="91">
        <v>632</v>
      </c>
      <c r="E8" s="91">
        <v>2.3199999999999998</v>
      </c>
      <c r="F8" s="91">
        <v>1162</v>
      </c>
      <c r="G8" s="91">
        <v>28.44</v>
      </c>
      <c r="H8" s="91">
        <v>424</v>
      </c>
      <c r="I8" s="91">
        <v>33.82</v>
      </c>
      <c r="J8" s="91">
        <f t="shared" si="0"/>
        <v>2218</v>
      </c>
      <c r="K8" s="91">
        <f t="shared" si="0"/>
        <v>64.58</v>
      </c>
    </row>
    <row r="9" spans="1:11" x14ac:dyDescent="0.25">
      <c r="A9" s="397">
        <v>4</v>
      </c>
      <c r="B9" s="91" t="s">
        <v>58</v>
      </c>
      <c r="C9" s="91">
        <v>423</v>
      </c>
      <c r="D9" s="91">
        <v>4072</v>
      </c>
      <c r="E9" s="91">
        <v>14.9</v>
      </c>
      <c r="F9" s="91">
        <v>5367</v>
      </c>
      <c r="G9" s="91">
        <v>107.36</v>
      </c>
      <c r="H9" s="91">
        <v>1190</v>
      </c>
      <c r="I9" s="91">
        <v>76.63</v>
      </c>
      <c r="J9" s="91">
        <f t="shared" si="0"/>
        <v>10629</v>
      </c>
      <c r="K9" s="91">
        <f t="shared" si="0"/>
        <v>198.89</v>
      </c>
    </row>
    <row r="10" spans="1:11" x14ac:dyDescent="0.25">
      <c r="A10" s="397">
        <v>5</v>
      </c>
      <c r="B10" s="91" t="s">
        <v>59</v>
      </c>
      <c r="C10" s="91">
        <v>120</v>
      </c>
      <c r="D10" s="91">
        <v>92</v>
      </c>
      <c r="E10" s="91">
        <v>0.38</v>
      </c>
      <c r="F10" s="91">
        <v>180</v>
      </c>
      <c r="G10" s="91">
        <v>5.34</v>
      </c>
      <c r="H10" s="91">
        <v>55</v>
      </c>
      <c r="I10" s="91">
        <v>3.72</v>
      </c>
      <c r="J10" s="91">
        <f t="shared" si="0"/>
        <v>327</v>
      </c>
      <c r="K10" s="91">
        <f t="shared" si="0"/>
        <v>9.44</v>
      </c>
    </row>
    <row r="11" spans="1:11" x14ac:dyDescent="0.25">
      <c r="A11" s="397">
        <v>6</v>
      </c>
      <c r="B11" s="91" t="s">
        <v>242</v>
      </c>
      <c r="C11" s="91">
        <v>1.5</v>
      </c>
      <c r="D11" s="91">
        <v>266</v>
      </c>
      <c r="E11" s="91">
        <v>1.01</v>
      </c>
      <c r="F11" s="91">
        <v>42</v>
      </c>
      <c r="G11" s="91">
        <v>1.03</v>
      </c>
      <c r="H11" s="91">
        <v>11</v>
      </c>
      <c r="I11" s="91">
        <v>0.77</v>
      </c>
      <c r="J11" s="91">
        <f t="shared" si="0"/>
        <v>319</v>
      </c>
      <c r="K11" s="91">
        <f t="shared" si="0"/>
        <v>2.81</v>
      </c>
    </row>
    <row r="12" spans="1:11" x14ac:dyDescent="0.25">
      <c r="A12" s="397">
        <v>7</v>
      </c>
      <c r="B12" s="91" t="s">
        <v>60</v>
      </c>
      <c r="C12" s="91">
        <v>250</v>
      </c>
      <c r="D12" s="91">
        <v>2025</v>
      </c>
      <c r="E12" s="91">
        <v>6.65</v>
      </c>
      <c r="F12" s="91">
        <v>1878</v>
      </c>
      <c r="G12" s="91">
        <v>36.4</v>
      </c>
      <c r="H12" s="91">
        <v>302</v>
      </c>
      <c r="I12" s="91">
        <v>22.26</v>
      </c>
      <c r="J12" s="91">
        <f t="shared" si="0"/>
        <v>4205</v>
      </c>
      <c r="K12" s="91">
        <f t="shared" si="0"/>
        <v>65.31</v>
      </c>
    </row>
    <row r="13" spans="1:11" x14ac:dyDescent="0.25">
      <c r="A13" s="397">
        <v>8</v>
      </c>
      <c r="B13" s="91" t="s">
        <v>61</v>
      </c>
      <c r="C13" s="91">
        <v>252.66</v>
      </c>
      <c r="D13" s="91">
        <v>2480</v>
      </c>
      <c r="E13" s="398">
        <v>8.8986322999999992</v>
      </c>
      <c r="F13" s="91">
        <v>3242</v>
      </c>
      <c r="G13" s="398">
        <v>75.555745900000005</v>
      </c>
      <c r="H13" s="91">
        <v>990</v>
      </c>
      <c r="I13" s="398">
        <v>76.733197099999998</v>
      </c>
      <c r="J13" s="91">
        <v>6712</v>
      </c>
      <c r="K13" s="398">
        <v>161.18757529999999</v>
      </c>
    </row>
    <row r="14" spans="1:11" x14ac:dyDescent="0.25">
      <c r="A14" s="397">
        <v>9</v>
      </c>
      <c r="B14" s="91" t="s">
        <v>48</v>
      </c>
      <c r="C14" s="91">
        <v>30</v>
      </c>
      <c r="D14" s="91">
        <v>641</v>
      </c>
      <c r="E14" s="91">
        <v>1.85</v>
      </c>
      <c r="F14" s="91">
        <v>2116</v>
      </c>
      <c r="G14" s="91">
        <v>28.63</v>
      </c>
      <c r="H14" s="91">
        <v>180</v>
      </c>
      <c r="I14" s="91">
        <v>10.32</v>
      </c>
      <c r="J14" s="91">
        <f t="shared" si="0"/>
        <v>2937</v>
      </c>
      <c r="K14" s="91">
        <f t="shared" si="0"/>
        <v>40.799999999999997</v>
      </c>
    </row>
    <row r="15" spans="1:11" x14ac:dyDescent="0.25">
      <c r="A15" s="397">
        <v>10</v>
      </c>
      <c r="B15" s="91" t="s">
        <v>49</v>
      </c>
      <c r="C15" s="91">
        <v>39</v>
      </c>
      <c r="D15" s="91">
        <v>226</v>
      </c>
      <c r="E15" s="91">
        <v>0.59</v>
      </c>
      <c r="F15" s="91">
        <v>449</v>
      </c>
      <c r="G15" s="91">
        <v>8.32</v>
      </c>
      <c r="H15" s="91">
        <v>87</v>
      </c>
      <c r="I15" s="91">
        <v>5.58</v>
      </c>
      <c r="J15" s="91">
        <f t="shared" si="0"/>
        <v>762</v>
      </c>
      <c r="K15" s="91">
        <f t="shared" si="0"/>
        <v>14.49</v>
      </c>
    </row>
    <row r="16" spans="1:11" x14ac:dyDescent="0.25">
      <c r="A16" s="397">
        <v>11</v>
      </c>
      <c r="B16" s="91" t="s">
        <v>81</v>
      </c>
      <c r="C16" s="91">
        <v>74.650000000000006</v>
      </c>
      <c r="D16" s="91">
        <v>10962</v>
      </c>
      <c r="E16" s="91">
        <v>20.97</v>
      </c>
      <c r="F16" s="91">
        <v>645</v>
      </c>
      <c r="G16" s="91">
        <v>13.22</v>
      </c>
      <c r="H16" s="91">
        <v>129</v>
      </c>
      <c r="I16" s="91">
        <v>6.76</v>
      </c>
      <c r="J16" s="91">
        <f t="shared" si="0"/>
        <v>11736</v>
      </c>
      <c r="K16" s="91">
        <f t="shared" si="0"/>
        <v>40.949999999999996</v>
      </c>
    </row>
    <row r="17" spans="1:11" x14ac:dyDescent="0.25">
      <c r="A17" s="397">
        <v>12</v>
      </c>
      <c r="B17" s="91" t="s">
        <v>62</v>
      </c>
      <c r="C17" s="91">
        <v>20</v>
      </c>
      <c r="D17" s="91">
        <v>782</v>
      </c>
      <c r="E17" s="91">
        <v>2.21</v>
      </c>
      <c r="F17" s="91">
        <v>378</v>
      </c>
      <c r="G17" s="91">
        <v>8.68</v>
      </c>
      <c r="H17" s="91">
        <v>91</v>
      </c>
      <c r="I17" s="91">
        <v>7.04</v>
      </c>
      <c r="J17" s="91">
        <f t="shared" si="0"/>
        <v>1251</v>
      </c>
      <c r="K17" s="91">
        <f t="shared" si="0"/>
        <v>17.93</v>
      </c>
    </row>
    <row r="18" spans="1:11" x14ac:dyDescent="0.25">
      <c r="A18" s="397">
        <v>13</v>
      </c>
      <c r="B18" s="91" t="s">
        <v>63</v>
      </c>
      <c r="C18" s="91">
        <v>37.450000000000003</v>
      </c>
      <c r="D18" s="91">
        <v>189</v>
      </c>
      <c r="E18" s="91">
        <v>0.5</v>
      </c>
      <c r="F18" s="91">
        <v>323</v>
      </c>
      <c r="G18" s="91">
        <v>6.65</v>
      </c>
      <c r="H18" s="91">
        <v>114</v>
      </c>
      <c r="I18" s="91">
        <v>7.7</v>
      </c>
      <c r="J18" s="91">
        <f t="shared" si="0"/>
        <v>626</v>
      </c>
      <c r="K18" s="91">
        <f t="shared" si="0"/>
        <v>14.850000000000001</v>
      </c>
    </row>
    <row r="19" spans="1:11" x14ac:dyDescent="0.25">
      <c r="A19" s="397">
        <v>14</v>
      </c>
      <c r="B19" s="91" t="s">
        <v>207</v>
      </c>
      <c r="C19" s="91">
        <v>64.95</v>
      </c>
      <c r="D19" s="91">
        <v>347</v>
      </c>
      <c r="E19" s="91">
        <v>0.7</v>
      </c>
      <c r="F19" s="91">
        <v>441</v>
      </c>
      <c r="G19" s="91">
        <v>7.56</v>
      </c>
      <c r="H19" s="91">
        <v>111</v>
      </c>
      <c r="I19" s="91">
        <v>7.89</v>
      </c>
      <c r="J19" s="91">
        <f t="shared" si="0"/>
        <v>899</v>
      </c>
      <c r="K19" s="91">
        <f t="shared" si="0"/>
        <v>16.149999999999999</v>
      </c>
    </row>
    <row r="20" spans="1:11" x14ac:dyDescent="0.25">
      <c r="A20" s="397">
        <v>15</v>
      </c>
      <c r="B20" s="91" t="s">
        <v>208</v>
      </c>
      <c r="C20" s="91">
        <v>35</v>
      </c>
      <c r="D20" s="91">
        <v>563</v>
      </c>
      <c r="E20" s="91">
        <v>2.06</v>
      </c>
      <c r="F20" s="91">
        <v>502</v>
      </c>
      <c r="G20" s="91">
        <v>8.17</v>
      </c>
      <c r="H20" s="91">
        <v>162</v>
      </c>
      <c r="I20" s="91">
        <v>8.39</v>
      </c>
      <c r="J20" s="91">
        <f t="shared" si="0"/>
        <v>1227</v>
      </c>
      <c r="K20" s="91">
        <f t="shared" si="0"/>
        <v>18.62</v>
      </c>
    </row>
    <row r="21" spans="1:11" x14ac:dyDescent="0.25">
      <c r="A21" s="397">
        <v>16</v>
      </c>
      <c r="B21" s="91" t="s">
        <v>64</v>
      </c>
      <c r="C21" s="91">
        <v>295</v>
      </c>
      <c r="D21" s="91">
        <v>2984</v>
      </c>
      <c r="E21" s="91">
        <v>10.09</v>
      </c>
      <c r="F21" s="91">
        <v>6071</v>
      </c>
      <c r="G21" s="91">
        <v>86.5</v>
      </c>
      <c r="H21" s="91">
        <v>905</v>
      </c>
      <c r="I21" s="91">
        <v>55.73</v>
      </c>
      <c r="J21" s="91">
        <f t="shared" si="0"/>
        <v>9960</v>
      </c>
      <c r="K21" s="91">
        <f t="shared" si="0"/>
        <v>152.32</v>
      </c>
    </row>
    <row r="22" spans="1:11" x14ac:dyDescent="0.25">
      <c r="A22" s="397">
        <v>17</v>
      </c>
      <c r="B22" s="91" t="s">
        <v>65</v>
      </c>
      <c r="C22" s="91">
        <v>78</v>
      </c>
      <c r="D22" s="91">
        <v>120</v>
      </c>
      <c r="E22" s="91">
        <v>0.51</v>
      </c>
      <c r="F22" s="91">
        <v>40</v>
      </c>
      <c r="G22" s="91">
        <v>1.46</v>
      </c>
      <c r="H22" s="91">
        <v>15</v>
      </c>
      <c r="I22" s="91">
        <v>1.42</v>
      </c>
      <c r="J22" s="91">
        <f t="shared" si="0"/>
        <v>175</v>
      </c>
      <c r="K22" s="91">
        <f t="shared" si="0"/>
        <v>3.3899999999999997</v>
      </c>
    </row>
    <row r="23" spans="1:11" x14ac:dyDescent="0.25">
      <c r="A23" s="397">
        <v>18</v>
      </c>
      <c r="B23" s="91" t="s">
        <v>213</v>
      </c>
      <c r="C23" s="91">
        <v>175</v>
      </c>
      <c r="D23" s="91">
        <v>1813</v>
      </c>
      <c r="E23" s="91">
        <v>5.4</v>
      </c>
      <c r="F23" s="91">
        <v>2160</v>
      </c>
      <c r="G23" s="91">
        <v>40.58</v>
      </c>
      <c r="H23" s="91">
        <v>572</v>
      </c>
      <c r="I23" s="91">
        <v>47.33</v>
      </c>
      <c r="J23" s="91">
        <f t="shared" si="0"/>
        <v>4545</v>
      </c>
      <c r="K23" s="91">
        <f t="shared" si="0"/>
        <v>93.31</v>
      </c>
    </row>
    <row r="24" spans="1:11" x14ac:dyDescent="0.25">
      <c r="A24" s="397">
        <v>19</v>
      </c>
      <c r="B24" s="91" t="s">
        <v>66</v>
      </c>
      <c r="C24" s="91">
        <v>189</v>
      </c>
      <c r="D24" s="91">
        <v>10147</v>
      </c>
      <c r="E24" s="91">
        <v>25.47</v>
      </c>
      <c r="F24" s="91">
        <v>5385</v>
      </c>
      <c r="G24" s="91">
        <v>114.23</v>
      </c>
      <c r="H24" s="91">
        <v>821</v>
      </c>
      <c r="I24" s="91">
        <v>58.42</v>
      </c>
      <c r="J24" s="91">
        <f t="shared" si="0"/>
        <v>16353</v>
      </c>
      <c r="K24" s="91">
        <f t="shared" si="0"/>
        <v>198.12</v>
      </c>
    </row>
    <row r="25" spans="1:11" x14ac:dyDescent="0.25">
      <c r="A25" s="397">
        <v>20</v>
      </c>
      <c r="B25" s="91" t="s">
        <v>67</v>
      </c>
      <c r="C25" s="91">
        <v>10.65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91">
        <f t="shared" si="0"/>
        <v>0</v>
      </c>
      <c r="K25" s="91">
        <f t="shared" si="0"/>
        <v>0</v>
      </c>
    </row>
    <row r="26" spans="1:11" x14ac:dyDescent="0.25">
      <c r="A26" s="397">
        <v>21</v>
      </c>
      <c r="B26" s="91" t="s">
        <v>50</v>
      </c>
      <c r="C26" s="91">
        <v>75</v>
      </c>
      <c r="D26" s="91">
        <v>355</v>
      </c>
      <c r="E26" s="91">
        <v>1.39</v>
      </c>
      <c r="F26" s="91">
        <v>728</v>
      </c>
      <c r="G26" s="91">
        <v>17.63</v>
      </c>
      <c r="H26" s="91">
        <v>122</v>
      </c>
      <c r="I26" s="91">
        <v>9.74</v>
      </c>
      <c r="J26" s="91">
        <f t="shared" si="0"/>
        <v>1205</v>
      </c>
      <c r="K26" s="91">
        <f>E26+G26+I26</f>
        <v>28.759999999999998</v>
      </c>
    </row>
    <row r="27" spans="1:11" x14ac:dyDescent="0.25">
      <c r="A27" s="397"/>
      <c r="B27" s="399" t="s">
        <v>607</v>
      </c>
      <c r="C27" s="399">
        <f t="shared" ref="C27:K27" si="1">SUM(C6:C26)</f>
        <v>2527.3100000000004</v>
      </c>
      <c r="D27" s="399">
        <f t="shared" si="1"/>
        <v>40864</v>
      </c>
      <c r="E27" s="399">
        <f t="shared" si="1"/>
        <v>112.97863230000002</v>
      </c>
      <c r="F27" s="399">
        <f t="shared" si="1"/>
        <v>33231</v>
      </c>
      <c r="G27" s="399">
        <f t="shared" si="1"/>
        <v>639.24574589999997</v>
      </c>
      <c r="H27" s="399">
        <f t="shared" si="1"/>
        <v>6843</v>
      </c>
      <c r="I27" s="399">
        <f t="shared" si="1"/>
        <v>477.88319709999996</v>
      </c>
      <c r="J27" s="399">
        <f t="shared" si="1"/>
        <v>80938</v>
      </c>
      <c r="K27" s="399">
        <f t="shared" si="1"/>
        <v>1230.1075752999998</v>
      </c>
    </row>
    <row r="28" spans="1:11" x14ac:dyDescent="0.25">
      <c r="A28" s="397">
        <v>22</v>
      </c>
      <c r="B28" s="91" t="s">
        <v>69</v>
      </c>
      <c r="C28" s="91">
        <v>7</v>
      </c>
      <c r="D28" s="91">
        <v>84</v>
      </c>
      <c r="E28" s="91">
        <v>0.26</v>
      </c>
      <c r="F28" s="91">
        <v>139</v>
      </c>
      <c r="G28" s="91">
        <v>4.9000000000000004</v>
      </c>
      <c r="H28" s="91">
        <v>43</v>
      </c>
      <c r="I28" s="91">
        <v>3.5</v>
      </c>
      <c r="J28" s="91">
        <f>D28+F28+H28</f>
        <v>266</v>
      </c>
      <c r="K28" s="91">
        <f>E28+G28+I28</f>
        <v>8.66</v>
      </c>
    </row>
    <row r="29" spans="1:11" x14ac:dyDescent="0.25">
      <c r="A29" s="397">
        <v>23</v>
      </c>
      <c r="B29" s="91" t="s">
        <v>209</v>
      </c>
      <c r="C29" s="91">
        <v>1.5</v>
      </c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f t="shared" ref="J29:K33" si="2">D29+F29+H29</f>
        <v>0</v>
      </c>
      <c r="K29" s="91">
        <f t="shared" si="2"/>
        <v>0</v>
      </c>
    </row>
    <row r="30" spans="1:11" x14ac:dyDescent="0.25">
      <c r="A30" s="397">
        <v>24</v>
      </c>
      <c r="B30" s="91" t="s">
        <v>210</v>
      </c>
      <c r="C30" s="91">
        <v>0</v>
      </c>
      <c r="D30" s="91">
        <v>30</v>
      </c>
      <c r="E30" s="91">
        <v>0.1</v>
      </c>
      <c r="F30" s="91">
        <v>20</v>
      </c>
      <c r="G30" s="91">
        <v>0.2</v>
      </c>
      <c r="H30" s="91">
        <v>40</v>
      </c>
      <c r="I30" s="91">
        <v>0.5</v>
      </c>
      <c r="J30" s="91">
        <f t="shared" si="2"/>
        <v>90</v>
      </c>
      <c r="K30" s="91">
        <f t="shared" si="2"/>
        <v>0.8</v>
      </c>
    </row>
    <row r="31" spans="1:11" x14ac:dyDescent="0.25">
      <c r="A31" s="397">
        <v>25</v>
      </c>
      <c r="B31" s="91" t="s">
        <v>211</v>
      </c>
      <c r="C31" s="91">
        <v>1.5</v>
      </c>
      <c r="D31" s="91">
        <v>16</v>
      </c>
      <c r="E31" s="91">
        <v>0.04</v>
      </c>
      <c r="F31" s="91">
        <v>13</v>
      </c>
      <c r="G31" s="91">
        <v>7.0000000000000007E-2</v>
      </c>
      <c r="H31" s="91">
        <v>2</v>
      </c>
      <c r="I31" s="91">
        <v>0.13</v>
      </c>
      <c r="J31" s="91">
        <f t="shared" si="2"/>
        <v>31</v>
      </c>
      <c r="K31" s="91">
        <f t="shared" si="2"/>
        <v>0.24000000000000002</v>
      </c>
    </row>
    <row r="32" spans="1:11" x14ac:dyDescent="0.25">
      <c r="A32" s="397">
        <v>26</v>
      </c>
      <c r="B32" s="91" t="s">
        <v>608</v>
      </c>
      <c r="C32" s="91">
        <v>0</v>
      </c>
      <c r="D32" s="91">
        <v>0</v>
      </c>
      <c r="E32" s="91">
        <v>0</v>
      </c>
      <c r="F32" s="91">
        <v>0</v>
      </c>
      <c r="G32" s="91">
        <v>0</v>
      </c>
      <c r="H32" s="91">
        <v>0</v>
      </c>
      <c r="I32" s="91">
        <v>0</v>
      </c>
      <c r="J32" s="91">
        <f t="shared" si="2"/>
        <v>0</v>
      </c>
      <c r="K32" s="91">
        <f t="shared" si="2"/>
        <v>0</v>
      </c>
    </row>
    <row r="33" spans="1:11" x14ac:dyDescent="0.25">
      <c r="A33" s="397">
        <v>27</v>
      </c>
      <c r="B33" s="91" t="s">
        <v>70</v>
      </c>
      <c r="C33" s="91">
        <v>1291.44</v>
      </c>
      <c r="D33" s="91">
        <v>4007</v>
      </c>
      <c r="E33" s="91">
        <v>12.61</v>
      </c>
      <c r="F33" s="91">
        <v>6412</v>
      </c>
      <c r="G33" s="91">
        <v>131.06</v>
      </c>
      <c r="H33" s="91">
        <v>2796</v>
      </c>
      <c r="I33" s="91">
        <v>196.22</v>
      </c>
      <c r="J33" s="91">
        <f t="shared" si="2"/>
        <v>13215</v>
      </c>
      <c r="K33" s="91">
        <f t="shared" si="2"/>
        <v>339.89</v>
      </c>
    </row>
    <row r="34" spans="1:11" x14ac:dyDescent="0.25">
      <c r="A34" s="397"/>
      <c r="B34" s="399" t="s">
        <v>609</v>
      </c>
      <c r="C34" s="399">
        <f t="shared" ref="C34:K34" si="3">SUM(C28:C33)</f>
        <v>1301.44</v>
      </c>
      <c r="D34" s="399">
        <f t="shared" si="3"/>
        <v>4137</v>
      </c>
      <c r="E34" s="399">
        <f t="shared" si="3"/>
        <v>13.01</v>
      </c>
      <c r="F34" s="399">
        <f t="shared" si="3"/>
        <v>6584</v>
      </c>
      <c r="G34" s="399">
        <f t="shared" si="3"/>
        <v>136.22999999999999</v>
      </c>
      <c r="H34" s="399">
        <f t="shared" si="3"/>
        <v>2881</v>
      </c>
      <c r="I34" s="399">
        <f t="shared" si="3"/>
        <v>200.35</v>
      </c>
      <c r="J34" s="399">
        <f t="shared" si="3"/>
        <v>13602</v>
      </c>
      <c r="K34" s="399">
        <f t="shared" si="3"/>
        <v>349.59</v>
      </c>
    </row>
    <row r="35" spans="1:11" x14ac:dyDescent="0.25">
      <c r="A35" s="397">
        <v>28</v>
      </c>
      <c r="B35" s="91" t="s">
        <v>47</v>
      </c>
      <c r="C35" s="91">
        <v>240</v>
      </c>
      <c r="D35" s="91">
        <v>74772</v>
      </c>
      <c r="E35" s="91">
        <v>149.33000000000001</v>
      </c>
      <c r="F35" s="91">
        <v>86</v>
      </c>
      <c r="G35" s="91">
        <v>2.5299999999999998</v>
      </c>
      <c r="H35" s="91">
        <v>53</v>
      </c>
      <c r="I35" s="91">
        <v>4.09</v>
      </c>
      <c r="J35" s="91">
        <f>D35+F35+H35</f>
        <v>74911</v>
      </c>
      <c r="K35" s="91">
        <f>E35+G35+I35</f>
        <v>155.95000000000002</v>
      </c>
    </row>
    <row r="36" spans="1:11" x14ac:dyDescent="0.25">
      <c r="A36" s="397">
        <v>29</v>
      </c>
      <c r="B36" s="91" t="s">
        <v>215</v>
      </c>
      <c r="C36" s="91">
        <v>0</v>
      </c>
      <c r="D36" s="91">
        <v>0</v>
      </c>
      <c r="E36" s="91">
        <v>0</v>
      </c>
      <c r="F36" s="91">
        <v>0</v>
      </c>
      <c r="G36" s="91">
        <v>0</v>
      </c>
      <c r="H36" s="91">
        <v>0</v>
      </c>
      <c r="I36" s="91">
        <v>0</v>
      </c>
      <c r="J36" s="91">
        <f t="shared" ref="J36:K56" si="4">D36+F36+H36</f>
        <v>0</v>
      </c>
      <c r="K36" s="91">
        <f t="shared" si="4"/>
        <v>0</v>
      </c>
    </row>
    <row r="37" spans="1:11" x14ac:dyDescent="0.25">
      <c r="A37" s="397">
        <v>30</v>
      </c>
      <c r="B37" s="91" t="s">
        <v>216</v>
      </c>
      <c r="C37" s="91">
        <v>0</v>
      </c>
      <c r="D37" s="91">
        <v>0</v>
      </c>
      <c r="E37" s="91">
        <v>0</v>
      </c>
      <c r="F37" s="91">
        <v>0</v>
      </c>
      <c r="G37" s="91">
        <v>0</v>
      </c>
      <c r="H37" s="91">
        <v>0</v>
      </c>
      <c r="I37" s="91">
        <v>0</v>
      </c>
      <c r="J37" s="91">
        <f t="shared" si="4"/>
        <v>0</v>
      </c>
      <c r="K37" s="91">
        <f t="shared" si="4"/>
        <v>0</v>
      </c>
    </row>
    <row r="38" spans="1:11" x14ac:dyDescent="0.25">
      <c r="A38" s="397">
        <v>31</v>
      </c>
      <c r="B38" s="91" t="s">
        <v>78</v>
      </c>
      <c r="C38" s="91">
        <v>0</v>
      </c>
      <c r="D38" s="91">
        <v>0</v>
      </c>
      <c r="E38" s="91">
        <v>0</v>
      </c>
      <c r="F38" s="91">
        <v>0</v>
      </c>
      <c r="G38" s="91">
        <v>0</v>
      </c>
      <c r="H38" s="91">
        <v>0</v>
      </c>
      <c r="I38" s="91">
        <v>0</v>
      </c>
      <c r="J38" s="91">
        <f t="shared" si="4"/>
        <v>0</v>
      </c>
      <c r="K38" s="91">
        <f t="shared" si="4"/>
        <v>0</v>
      </c>
    </row>
    <row r="39" spans="1:11" x14ac:dyDescent="0.25">
      <c r="A39" s="397">
        <v>32</v>
      </c>
      <c r="B39" s="91" t="s">
        <v>51</v>
      </c>
      <c r="C39" s="91">
        <v>0</v>
      </c>
      <c r="D39" s="91">
        <v>0</v>
      </c>
      <c r="E39" s="91">
        <v>0</v>
      </c>
      <c r="F39" s="91">
        <v>0</v>
      </c>
      <c r="G39" s="91">
        <v>0</v>
      </c>
      <c r="H39" s="91">
        <v>1</v>
      </c>
      <c r="I39" s="91">
        <v>0.1</v>
      </c>
      <c r="J39" s="91">
        <f t="shared" si="4"/>
        <v>1</v>
      </c>
      <c r="K39" s="91">
        <f t="shared" si="4"/>
        <v>0.1</v>
      </c>
    </row>
    <row r="40" spans="1:11" x14ac:dyDescent="0.25">
      <c r="A40" s="397">
        <v>33</v>
      </c>
      <c r="B40" s="91" t="s">
        <v>217</v>
      </c>
      <c r="C40" s="91">
        <v>0</v>
      </c>
      <c r="D40" s="91">
        <v>0</v>
      </c>
      <c r="E40" s="91">
        <v>0</v>
      </c>
      <c r="F40" s="91">
        <v>0</v>
      </c>
      <c r="G40" s="91">
        <v>0</v>
      </c>
      <c r="H40" s="91">
        <v>0</v>
      </c>
      <c r="I40" s="91">
        <v>0</v>
      </c>
      <c r="J40" s="91">
        <f t="shared" si="4"/>
        <v>0</v>
      </c>
      <c r="K40" s="91">
        <f t="shared" si="4"/>
        <v>0</v>
      </c>
    </row>
    <row r="41" spans="1:11" x14ac:dyDescent="0.25">
      <c r="A41" s="397">
        <v>34</v>
      </c>
      <c r="B41" s="91" t="s">
        <v>218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1">
        <v>0</v>
      </c>
      <c r="J41" s="91">
        <f t="shared" si="4"/>
        <v>0</v>
      </c>
      <c r="K41" s="91">
        <f t="shared" si="4"/>
        <v>0</v>
      </c>
    </row>
    <row r="42" spans="1:11" x14ac:dyDescent="0.25">
      <c r="A42" s="397">
        <v>35</v>
      </c>
      <c r="B42" s="91" t="s">
        <v>219</v>
      </c>
      <c r="C42" s="91">
        <v>0</v>
      </c>
      <c r="D42" s="91">
        <v>0</v>
      </c>
      <c r="E42" s="91">
        <v>0</v>
      </c>
      <c r="F42" s="91">
        <v>0</v>
      </c>
      <c r="G42" s="91">
        <v>0</v>
      </c>
      <c r="H42" s="91">
        <v>0</v>
      </c>
      <c r="I42" s="91">
        <v>0</v>
      </c>
      <c r="J42" s="91">
        <f t="shared" si="4"/>
        <v>0</v>
      </c>
      <c r="K42" s="91">
        <f t="shared" si="4"/>
        <v>0</v>
      </c>
    </row>
    <row r="43" spans="1:11" x14ac:dyDescent="0.25">
      <c r="A43" s="397">
        <v>36</v>
      </c>
      <c r="B43" s="91" t="s">
        <v>71</v>
      </c>
      <c r="C43" s="91">
        <v>257.08</v>
      </c>
      <c r="D43" s="91">
        <v>48456</v>
      </c>
      <c r="E43" s="91">
        <v>113.63</v>
      </c>
      <c r="F43" s="91">
        <v>669</v>
      </c>
      <c r="G43" s="91">
        <v>17.37</v>
      </c>
      <c r="H43" s="91">
        <v>345</v>
      </c>
      <c r="I43" s="91">
        <v>23.59</v>
      </c>
      <c r="J43" s="91">
        <f t="shared" si="4"/>
        <v>49470</v>
      </c>
      <c r="K43" s="91">
        <f t="shared" si="4"/>
        <v>154.59</v>
      </c>
    </row>
    <row r="44" spans="1:11" x14ac:dyDescent="0.25">
      <c r="A44" s="397">
        <v>37</v>
      </c>
      <c r="B44" s="91" t="s">
        <v>72</v>
      </c>
      <c r="C44" s="91">
        <v>79</v>
      </c>
      <c r="D44" s="91">
        <v>8674</v>
      </c>
      <c r="E44" s="91">
        <v>23.31</v>
      </c>
      <c r="F44" s="91">
        <v>91</v>
      </c>
      <c r="G44" s="91">
        <v>2.29</v>
      </c>
      <c r="H44" s="91">
        <v>74</v>
      </c>
      <c r="I44" s="91">
        <v>5.73</v>
      </c>
      <c r="J44" s="91">
        <f t="shared" si="4"/>
        <v>8839</v>
      </c>
      <c r="K44" s="91">
        <f t="shared" si="4"/>
        <v>31.33</v>
      </c>
    </row>
    <row r="45" spans="1:11" x14ac:dyDescent="0.25">
      <c r="A45" s="397">
        <v>38</v>
      </c>
      <c r="B45" s="91" t="s">
        <v>220</v>
      </c>
      <c r="C45" s="91">
        <v>0</v>
      </c>
      <c r="D45" s="91">
        <v>0</v>
      </c>
      <c r="E45" s="91">
        <v>0</v>
      </c>
      <c r="F45" s="91">
        <v>0</v>
      </c>
      <c r="G45" s="91">
        <v>0</v>
      </c>
      <c r="H45" s="91">
        <v>0</v>
      </c>
      <c r="I45" s="91">
        <v>0</v>
      </c>
      <c r="J45" s="91">
        <f t="shared" si="4"/>
        <v>0</v>
      </c>
      <c r="K45" s="91">
        <f t="shared" si="4"/>
        <v>0</v>
      </c>
    </row>
    <row r="46" spans="1:11" x14ac:dyDescent="0.25">
      <c r="A46" s="397">
        <v>39</v>
      </c>
      <c r="B46" s="91" t="s">
        <v>221</v>
      </c>
      <c r="C46" s="91">
        <v>0</v>
      </c>
      <c r="D46" s="91">
        <v>0</v>
      </c>
      <c r="E46" s="91">
        <v>0</v>
      </c>
      <c r="F46" s="91">
        <v>0</v>
      </c>
      <c r="G46" s="91">
        <v>0</v>
      </c>
      <c r="H46" s="91">
        <v>0</v>
      </c>
      <c r="I46" s="91">
        <v>0</v>
      </c>
      <c r="J46" s="91">
        <f t="shared" si="4"/>
        <v>0</v>
      </c>
      <c r="K46" s="91">
        <f t="shared" si="4"/>
        <v>0</v>
      </c>
    </row>
    <row r="47" spans="1:11" x14ac:dyDescent="0.25">
      <c r="A47" s="397">
        <v>40</v>
      </c>
      <c r="B47" s="91" t="s">
        <v>222</v>
      </c>
      <c r="C47" s="91">
        <v>0</v>
      </c>
      <c r="D47" s="91">
        <v>0</v>
      </c>
      <c r="E47" s="91">
        <v>0</v>
      </c>
      <c r="F47" s="91">
        <v>0</v>
      </c>
      <c r="G47" s="91">
        <v>0</v>
      </c>
      <c r="H47" s="91">
        <v>0</v>
      </c>
      <c r="I47" s="91">
        <v>0</v>
      </c>
      <c r="J47" s="91">
        <f t="shared" si="4"/>
        <v>0</v>
      </c>
      <c r="K47" s="91">
        <f t="shared" si="4"/>
        <v>0</v>
      </c>
    </row>
    <row r="48" spans="1:11" x14ac:dyDescent="0.25">
      <c r="A48" s="397">
        <v>41</v>
      </c>
      <c r="B48" s="91" t="s">
        <v>223</v>
      </c>
      <c r="C48" s="91">
        <v>2</v>
      </c>
      <c r="D48" s="91">
        <v>45</v>
      </c>
      <c r="E48" s="91">
        <v>0.19</v>
      </c>
      <c r="F48" s="91">
        <v>33</v>
      </c>
      <c r="G48" s="91">
        <v>0.72</v>
      </c>
      <c r="H48" s="91">
        <v>10</v>
      </c>
      <c r="I48" s="91">
        <v>0.61</v>
      </c>
      <c r="J48" s="91">
        <f t="shared" si="4"/>
        <v>88</v>
      </c>
      <c r="K48" s="91">
        <f t="shared" si="4"/>
        <v>1.52</v>
      </c>
    </row>
    <row r="49" spans="1:11" x14ac:dyDescent="0.25">
      <c r="A49" s="397">
        <v>42</v>
      </c>
      <c r="B49" s="91" t="s">
        <v>224</v>
      </c>
      <c r="C49" s="91">
        <v>0</v>
      </c>
      <c r="D49" s="91">
        <v>0</v>
      </c>
      <c r="E49" s="91">
        <v>0</v>
      </c>
      <c r="F49" s="91">
        <v>0</v>
      </c>
      <c r="G49" s="91">
        <v>0</v>
      </c>
      <c r="H49" s="91">
        <v>0</v>
      </c>
      <c r="I49" s="91">
        <v>0</v>
      </c>
      <c r="J49" s="91">
        <f t="shared" si="4"/>
        <v>0</v>
      </c>
      <c r="K49" s="91">
        <f t="shared" si="4"/>
        <v>0</v>
      </c>
    </row>
    <row r="50" spans="1:11" x14ac:dyDescent="0.25">
      <c r="A50" s="397">
        <v>43</v>
      </c>
      <c r="B50" s="91" t="s">
        <v>73</v>
      </c>
      <c r="C50" s="91">
        <v>0</v>
      </c>
      <c r="D50" s="91">
        <v>0</v>
      </c>
      <c r="E50" s="91">
        <v>0</v>
      </c>
      <c r="F50" s="91">
        <v>0</v>
      </c>
      <c r="G50" s="91">
        <v>0</v>
      </c>
      <c r="H50" s="91">
        <v>0</v>
      </c>
      <c r="I50" s="91">
        <v>0</v>
      </c>
      <c r="J50" s="91">
        <f t="shared" si="4"/>
        <v>0</v>
      </c>
      <c r="K50" s="91">
        <f t="shared" si="4"/>
        <v>0</v>
      </c>
    </row>
    <row r="51" spans="1:11" x14ac:dyDescent="0.25">
      <c r="A51" s="397">
        <v>44</v>
      </c>
      <c r="B51" s="91" t="s">
        <v>225</v>
      </c>
      <c r="C51" s="91">
        <v>0</v>
      </c>
      <c r="D51" s="91">
        <v>0</v>
      </c>
      <c r="E51" s="91">
        <v>0</v>
      </c>
      <c r="F51" s="91">
        <v>0</v>
      </c>
      <c r="G51" s="91">
        <v>0</v>
      </c>
      <c r="H51" s="91">
        <v>0</v>
      </c>
      <c r="I51" s="91">
        <v>0</v>
      </c>
      <c r="J51" s="91">
        <f t="shared" si="4"/>
        <v>0</v>
      </c>
      <c r="K51" s="91">
        <f t="shared" si="4"/>
        <v>0</v>
      </c>
    </row>
    <row r="52" spans="1:11" x14ac:dyDescent="0.25">
      <c r="A52" s="397">
        <v>45</v>
      </c>
      <c r="B52" s="91" t="s">
        <v>226</v>
      </c>
      <c r="C52" s="91">
        <v>0</v>
      </c>
      <c r="D52" s="91">
        <v>4137</v>
      </c>
      <c r="E52" s="91">
        <v>8.8000000000000007</v>
      </c>
      <c r="F52" s="91">
        <v>393</v>
      </c>
      <c r="G52" s="91">
        <v>11.5</v>
      </c>
      <c r="H52" s="91">
        <v>79</v>
      </c>
      <c r="I52" s="91">
        <v>6.45</v>
      </c>
      <c r="J52" s="91">
        <f t="shared" si="4"/>
        <v>4609</v>
      </c>
      <c r="K52" s="91">
        <f t="shared" si="4"/>
        <v>26.75</v>
      </c>
    </row>
    <row r="53" spans="1:11" x14ac:dyDescent="0.25">
      <c r="A53" s="397">
        <v>46</v>
      </c>
      <c r="B53" s="91" t="s">
        <v>227</v>
      </c>
      <c r="C53" s="91">
        <v>0</v>
      </c>
      <c r="D53" s="91">
        <v>0</v>
      </c>
      <c r="E53" s="91">
        <v>0</v>
      </c>
      <c r="F53" s="91">
        <v>0</v>
      </c>
      <c r="G53" s="91">
        <v>0</v>
      </c>
      <c r="H53" s="91">
        <v>0</v>
      </c>
      <c r="I53" s="91">
        <v>0</v>
      </c>
      <c r="J53" s="91">
        <f t="shared" si="4"/>
        <v>0</v>
      </c>
      <c r="K53" s="91">
        <f t="shared" si="4"/>
        <v>0</v>
      </c>
    </row>
    <row r="54" spans="1:11" x14ac:dyDescent="0.25">
      <c r="A54" s="397">
        <v>47</v>
      </c>
      <c r="B54" s="91" t="s">
        <v>77</v>
      </c>
      <c r="C54" s="91">
        <v>0</v>
      </c>
      <c r="D54" s="91">
        <v>0</v>
      </c>
      <c r="E54" s="91">
        <v>0</v>
      </c>
      <c r="F54" s="91">
        <v>0</v>
      </c>
      <c r="G54" s="91">
        <v>0</v>
      </c>
      <c r="H54" s="91">
        <v>0</v>
      </c>
      <c r="I54" s="91">
        <v>0</v>
      </c>
      <c r="J54" s="91">
        <f t="shared" si="4"/>
        <v>0</v>
      </c>
      <c r="K54" s="91">
        <f t="shared" si="4"/>
        <v>0</v>
      </c>
    </row>
    <row r="55" spans="1:11" x14ac:dyDescent="0.25">
      <c r="A55" s="397">
        <v>48</v>
      </c>
      <c r="B55" s="91" t="s">
        <v>228</v>
      </c>
      <c r="C55" s="91">
        <v>0</v>
      </c>
      <c r="D55" s="91">
        <v>0</v>
      </c>
      <c r="E55" s="91">
        <v>0</v>
      </c>
      <c r="F55" s="91">
        <v>0</v>
      </c>
      <c r="G55" s="91">
        <v>0</v>
      </c>
      <c r="H55" s="91">
        <v>0</v>
      </c>
      <c r="I55" s="91">
        <v>0</v>
      </c>
      <c r="J55" s="91">
        <f t="shared" si="4"/>
        <v>0</v>
      </c>
      <c r="K55" s="91">
        <f t="shared" si="4"/>
        <v>0</v>
      </c>
    </row>
    <row r="56" spans="1:11" x14ac:dyDescent="0.25">
      <c r="A56" s="397">
        <v>49</v>
      </c>
      <c r="B56" s="91" t="s">
        <v>76</v>
      </c>
      <c r="C56" s="91">
        <v>0</v>
      </c>
      <c r="D56" s="91">
        <v>0</v>
      </c>
      <c r="E56" s="91">
        <v>0</v>
      </c>
      <c r="F56" s="91">
        <v>0</v>
      </c>
      <c r="G56" s="91">
        <v>0</v>
      </c>
      <c r="H56" s="91">
        <v>0</v>
      </c>
      <c r="I56" s="91">
        <v>0</v>
      </c>
      <c r="J56" s="91">
        <f t="shared" si="4"/>
        <v>0</v>
      </c>
      <c r="K56" s="91">
        <f t="shared" si="4"/>
        <v>0</v>
      </c>
    </row>
    <row r="57" spans="1:11" x14ac:dyDescent="0.25">
      <c r="A57" s="397"/>
      <c r="B57" s="399" t="s">
        <v>610</v>
      </c>
      <c r="C57" s="399">
        <f t="shared" ref="C57:K57" si="5">SUM(C35:C56)</f>
        <v>578.07999999999993</v>
      </c>
      <c r="D57" s="399">
        <f t="shared" si="5"/>
        <v>136084</v>
      </c>
      <c r="E57" s="399">
        <f t="shared" si="5"/>
        <v>295.26000000000005</v>
      </c>
      <c r="F57" s="399">
        <f t="shared" si="5"/>
        <v>1272</v>
      </c>
      <c r="G57" s="399">
        <f t="shared" si="5"/>
        <v>34.409999999999997</v>
      </c>
      <c r="H57" s="399">
        <f t="shared" si="5"/>
        <v>562</v>
      </c>
      <c r="I57" s="399">
        <f t="shared" si="5"/>
        <v>40.570000000000007</v>
      </c>
      <c r="J57" s="399">
        <f t="shared" si="5"/>
        <v>137918</v>
      </c>
      <c r="K57" s="399">
        <f t="shared" si="5"/>
        <v>370.23999999999995</v>
      </c>
    </row>
    <row r="58" spans="1:11" x14ac:dyDescent="0.25">
      <c r="A58" s="397">
        <v>50</v>
      </c>
      <c r="B58" s="91" t="s">
        <v>46</v>
      </c>
      <c r="C58" s="91">
        <v>100</v>
      </c>
      <c r="D58" s="91">
        <v>3278</v>
      </c>
      <c r="E58" s="91">
        <v>13.52</v>
      </c>
      <c r="F58" s="91">
        <v>388</v>
      </c>
      <c r="G58" s="91">
        <v>7.78</v>
      </c>
      <c r="H58" s="91">
        <v>139</v>
      </c>
      <c r="I58" s="91">
        <v>10.23</v>
      </c>
      <c r="J58" s="91">
        <f>D58+F58+H58</f>
        <v>3805</v>
      </c>
      <c r="K58" s="91">
        <f>E58+G58+I58</f>
        <v>31.53</v>
      </c>
    </row>
    <row r="59" spans="1:11" x14ac:dyDescent="0.25">
      <c r="A59" s="397">
        <v>51</v>
      </c>
      <c r="B59" s="91" t="s">
        <v>229</v>
      </c>
      <c r="C59" s="91">
        <v>150</v>
      </c>
      <c r="D59" s="91">
        <v>6298</v>
      </c>
      <c r="E59" s="91">
        <v>18.989999999999998</v>
      </c>
      <c r="F59" s="91">
        <v>2062</v>
      </c>
      <c r="G59" s="91">
        <v>33.71</v>
      </c>
      <c r="H59" s="91">
        <v>52</v>
      </c>
      <c r="I59" s="91">
        <v>4.01</v>
      </c>
      <c r="J59" s="91">
        <f t="shared" ref="J59:K60" si="6">D59+F59+H59</f>
        <v>8412</v>
      </c>
      <c r="K59" s="91">
        <f t="shared" si="6"/>
        <v>56.71</v>
      </c>
    </row>
    <row r="60" spans="1:11" x14ac:dyDescent="0.25">
      <c r="A60" s="397">
        <v>52</v>
      </c>
      <c r="B60" s="91" t="s">
        <v>52</v>
      </c>
      <c r="C60" s="91">
        <v>250</v>
      </c>
      <c r="D60" s="91">
        <v>3665</v>
      </c>
      <c r="E60" s="91">
        <v>15.57</v>
      </c>
      <c r="F60" s="91">
        <v>3783</v>
      </c>
      <c r="G60" s="91">
        <v>61.47</v>
      </c>
      <c r="H60" s="91">
        <v>243</v>
      </c>
      <c r="I60" s="91">
        <v>16.440000000000001</v>
      </c>
      <c r="J60" s="91">
        <f t="shared" si="6"/>
        <v>7691</v>
      </c>
      <c r="K60" s="91">
        <f t="shared" si="6"/>
        <v>93.47999999999999</v>
      </c>
    </row>
    <row r="61" spans="1:11" x14ac:dyDescent="0.25">
      <c r="A61" s="397"/>
      <c r="B61" s="399" t="s">
        <v>611</v>
      </c>
      <c r="C61" s="399">
        <f t="shared" ref="C61:K61" si="7">SUM(C58:C60)</f>
        <v>500</v>
      </c>
      <c r="D61" s="399">
        <f t="shared" si="7"/>
        <v>13241</v>
      </c>
      <c r="E61" s="399">
        <f t="shared" si="7"/>
        <v>48.08</v>
      </c>
      <c r="F61" s="399">
        <f t="shared" si="7"/>
        <v>6233</v>
      </c>
      <c r="G61" s="399">
        <f t="shared" si="7"/>
        <v>102.96000000000001</v>
      </c>
      <c r="H61" s="399">
        <f t="shared" si="7"/>
        <v>434</v>
      </c>
      <c r="I61" s="399">
        <f t="shared" si="7"/>
        <v>30.68</v>
      </c>
      <c r="J61" s="399">
        <f t="shared" si="7"/>
        <v>19908</v>
      </c>
      <c r="K61" s="399">
        <f t="shared" si="7"/>
        <v>181.72</v>
      </c>
    </row>
    <row r="62" spans="1:11" x14ac:dyDescent="0.25">
      <c r="A62" s="397">
        <v>53</v>
      </c>
      <c r="B62" s="91" t="s">
        <v>290</v>
      </c>
      <c r="C62" s="91">
        <v>0</v>
      </c>
      <c r="D62" s="91">
        <v>258</v>
      </c>
      <c r="E62" s="91">
        <v>1.23</v>
      </c>
      <c r="F62" s="91">
        <v>156</v>
      </c>
      <c r="G62" s="91">
        <v>6.28</v>
      </c>
      <c r="H62" s="91">
        <v>205</v>
      </c>
      <c r="I62" s="91">
        <v>12.08</v>
      </c>
      <c r="J62" s="91">
        <f>D62+F62+H62</f>
        <v>619</v>
      </c>
      <c r="K62" s="91">
        <f>E62+G62+I62</f>
        <v>19.59</v>
      </c>
    </row>
    <row r="63" spans="1:11" x14ac:dyDescent="0.25">
      <c r="A63" s="91"/>
      <c r="B63" s="399" t="s">
        <v>612</v>
      </c>
      <c r="C63" s="399">
        <f>C62</f>
        <v>0</v>
      </c>
      <c r="D63" s="399">
        <f t="shared" ref="D63:K63" si="8">D62</f>
        <v>258</v>
      </c>
      <c r="E63" s="399">
        <f t="shared" si="8"/>
        <v>1.23</v>
      </c>
      <c r="F63" s="399">
        <f t="shared" si="8"/>
        <v>156</v>
      </c>
      <c r="G63" s="399">
        <f t="shared" si="8"/>
        <v>6.28</v>
      </c>
      <c r="H63" s="399">
        <f t="shared" si="8"/>
        <v>205</v>
      </c>
      <c r="I63" s="399">
        <f t="shared" si="8"/>
        <v>12.08</v>
      </c>
      <c r="J63" s="399">
        <f t="shared" si="8"/>
        <v>619</v>
      </c>
      <c r="K63" s="399">
        <f t="shared" si="8"/>
        <v>19.59</v>
      </c>
    </row>
    <row r="64" spans="1:11" x14ac:dyDescent="0.25">
      <c r="A64" s="91"/>
      <c r="B64" s="399" t="s">
        <v>292</v>
      </c>
      <c r="C64" s="399">
        <f>C63+C61+C57+C34+C27</f>
        <v>4906.83</v>
      </c>
      <c r="D64" s="399">
        <f t="shared" ref="D64:K64" si="9">D63+D61+D57+D34+D27</f>
        <v>194584</v>
      </c>
      <c r="E64" s="399">
        <f t="shared" si="9"/>
        <v>470.55863230000006</v>
      </c>
      <c r="F64" s="399">
        <f t="shared" si="9"/>
        <v>47476</v>
      </c>
      <c r="G64" s="399">
        <f t="shared" si="9"/>
        <v>919.12574589999997</v>
      </c>
      <c r="H64" s="399">
        <f t="shared" si="9"/>
        <v>10925</v>
      </c>
      <c r="I64" s="399">
        <f t="shared" si="9"/>
        <v>761.56319710000002</v>
      </c>
      <c r="J64" s="399">
        <f t="shared" si="9"/>
        <v>252985</v>
      </c>
      <c r="K64" s="399">
        <f t="shared" si="9"/>
        <v>2151.2475752999999</v>
      </c>
    </row>
    <row r="65" spans="2:2" x14ac:dyDescent="0.25">
      <c r="B65" s="328" t="s">
        <v>1240</v>
      </c>
    </row>
  </sheetData>
  <mergeCells count="7">
    <mergeCell ref="A1:K1"/>
    <mergeCell ref="D4:E4"/>
    <mergeCell ref="F4:G4"/>
    <mergeCell ref="H4:I4"/>
    <mergeCell ref="J4:K4"/>
    <mergeCell ref="A2:K2"/>
    <mergeCell ref="H3:J3"/>
  </mergeCells>
  <conditionalFormatting sqref="M6:M64">
    <cfRule type="cellIs" dxfId="2" priority="1" operator="lessThan">
      <formula>0</formula>
    </cfRule>
    <cfRule type="cellIs" dxfId="1" priority="2" operator="lessThan">
      <formula>0</formula>
    </cfRule>
    <cfRule type="cellIs" dxfId="0" priority="3" operator="lessThan">
      <formula>0</formula>
    </cfRule>
  </conditionalFormatting>
  <pageMargins left="0.7" right="0.7" top="0.75" bottom="0.75" header="0.3" footer="0.3"/>
  <pageSetup paperSize="9" scale="72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view="pageBreakPreview" zoomScale="60"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B41" sqref="B41"/>
    </sheetView>
  </sheetViews>
  <sheetFormatPr defaultRowHeight="12.75" x14ac:dyDescent="0.2"/>
  <cols>
    <col min="1" max="1" width="22.7109375" style="426" customWidth="1"/>
    <col min="2" max="3" width="8.28515625" style="426" customWidth="1"/>
    <col min="4" max="4" width="7.85546875" style="426" customWidth="1"/>
    <col min="5" max="5" width="7.28515625" style="426" customWidth="1"/>
    <col min="6" max="6" width="7.5703125" style="426" customWidth="1"/>
    <col min="7" max="7" width="8.42578125" style="426" customWidth="1"/>
    <col min="8" max="16384" width="9.140625" style="426"/>
  </cols>
  <sheetData>
    <row r="1" spans="1:13" ht="14.25" x14ac:dyDescent="0.2">
      <c r="A1" s="611" t="s">
        <v>1242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</row>
    <row r="2" spans="1:13" ht="14.25" x14ac:dyDescent="0.2">
      <c r="A2" s="427"/>
      <c r="B2" s="427"/>
      <c r="C2" s="427"/>
      <c r="D2" s="427"/>
      <c r="E2" s="427"/>
      <c r="F2" s="427"/>
      <c r="G2" s="427"/>
      <c r="H2" s="427"/>
      <c r="I2" s="427"/>
      <c r="J2" s="427" t="s">
        <v>631</v>
      </c>
      <c r="K2" s="427"/>
      <c r="L2" s="427"/>
      <c r="M2" s="427"/>
    </row>
    <row r="3" spans="1:13" ht="14.25" x14ac:dyDescent="0.2">
      <c r="A3" s="427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</row>
    <row r="4" spans="1:13" ht="13.5" x14ac:dyDescent="0.2">
      <c r="A4" s="612" t="s">
        <v>3</v>
      </c>
      <c r="B4" s="500" t="s">
        <v>615</v>
      </c>
      <c r="C4" s="500"/>
      <c r="D4" s="500"/>
      <c r="E4" s="500"/>
      <c r="F4" s="500"/>
      <c r="G4" s="500"/>
      <c r="H4" s="500" t="s">
        <v>616</v>
      </c>
      <c r="I4" s="500"/>
      <c r="J4" s="500"/>
      <c r="K4" s="500"/>
      <c r="L4" s="500"/>
      <c r="M4" s="500"/>
    </row>
    <row r="5" spans="1:13" ht="13.5" x14ac:dyDescent="0.2">
      <c r="A5" s="613"/>
      <c r="B5" s="500" t="s">
        <v>617</v>
      </c>
      <c r="C5" s="500"/>
      <c r="D5" s="500"/>
      <c r="E5" s="500" t="s">
        <v>618</v>
      </c>
      <c r="F5" s="500"/>
      <c r="G5" s="500" t="s">
        <v>0</v>
      </c>
      <c r="H5" s="500" t="s">
        <v>617</v>
      </c>
      <c r="I5" s="500"/>
      <c r="J5" s="500"/>
      <c r="K5" s="500" t="s">
        <v>618</v>
      </c>
      <c r="L5" s="500"/>
      <c r="M5" s="500" t="s">
        <v>0</v>
      </c>
    </row>
    <row r="6" spans="1:13" ht="13.5" x14ac:dyDescent="0.2">
      <c r="A6" s="614"/>
      <c r="B6" s="414" t="s">
        <v>619</v>
      </c>
      <c r="C6" s="414" t="s">
        <v>620</v>
      </c>
      <c r="D6" s="414" t="s">
        <v>621</v>
      </c>
      <c r="E6" s="414" t="s">
        <v>620</v>
      </c>
      <c r="F6" s="414" t="s">
        <v>622</v>
      </c>
      <c r="G6" s="500"/>
      <c r="H6" s="414" t="s">
        <v>619</v>
      </c>
      <c r="I6" s="414" t="s">
        <v>620</v>
      </c>
      <c r="J6" s="414" t="s">
        <v>621</v>
      </c>
      <c r="K6" s="414" t="s">
        <v>620</v>
      </c>
      <c r="L6" s="414" t="s">
        <v>621</v>
      </c>
      <c r="M6" s="500"/>
    </row>
    <row r="7" spans="1:13" ht="13.5" x14ac:dyDescent="0.2">
      <c r="A7" s="132" t="s">
        <v>55</v>
      </c>
      <c r="B7" s="423">
        <v>9</v>
      </c>
      <c r="C7" s="423">
        <v>2</v>
      </c>
      <c r="D7" s="423">
        <v>0</v>
      </c>
      <c r="E7" s="423">
        <v>1</v>
      </c>
      <c r="F7" s="423">
        <v>0</v>
      </c>
      <c r="G7" s="423">
        <v>12</v>
      </c>
      <c r="H7" s="424">
        <v>3.71</v>
      </c>
      <c r="I7" s="424">
        <v>0.3</v>
      </c>
      <c r="J7" s="424">
        <v>0</v>
      </c>
      <c r="K7" s="424">
        <v>0.13</v>
      </c>
      <c r="L7" s="424">
        <v>0</v>
      </c>
      <c r="M7" s="424">
        <v>4.1399999999999997</v>
      </c>
    </row>
    <row r="8" spans="1:13" ht="13.5" x14ac:dyDescent="0.2">
      <c r="A8" s="132" t="s">
        <v>56</v>
      </c>
      <c r="B8" s="423">
        <v>44</v>
      </c>
      <c r="C8" s="423">
        <v>4</v>
      </c>
      <c r="D8" s="423">
        <v>0</v>
      </c>
      <c r="E8" s="423">
        <v>5</v>
      </c>
      <c r="F8" s="423">
        <v>0</v>
      </c>
      <c r="G8" s="423">
        <v>53</v>
      </c>
      <c r="H8" s="424">
        <v>4.6390000000000002</v>
      </c>
      <c r="I8" s="424">
        <v>0.4</v>
      </c>
      <c r="J8" s="424">
        <v>0</v>
      </c>
      <c r="K8" s="424">
        <v>0.5</v>
      </c>
      <c r="L8" s="424">
        <v>0</v>
      </c>
      <c r="M8" s="424">
        <v>5.5390000000000006</v>
      </c>
    </row>
    <row r="9" spans="1:13" ht="13.5" x14ac:dyDescent="0.2">
      <c r="A9" s="132" t="s">
        <v>57</v>
      </c>
      <c r="B9" s="423">
        <v>12</v>
      </c>
      <c r="C9" s="423">
        <v>0</v>
      </c>
      <c r="D9" s="423">
        <v>0</v>
      </c>
      <c r="E9" s="423">
        <v>7</v>
      </c>
      <c r="F9" s="423">
        <v>1</v>
      </c>
      <c r="G9" s="423">
        <v>20</v>
      </c>
      <c r="H9" s="424">
        <v>3.1280000000000001</v>
      </c>
      <c r="I9" s="424">
        <v>0</v>
      </c>
      <c r="J9" s="424">
        <v>0</v>
      </c>
      <c r="K9" s="424">
        <v>1.19</v>
      </c>
      <c r="L9" s="424">
        <v>0.41</v>
      </c>
      <c r="M9" s="424">
        <v>4.7279999999999998</v>
      </c>
    </row>
    <row r="10" spans="1:13" ht="13.5" x14ac:dyDescent="0.2">
      <c r="A10" s="132" t="s">
        <v>58</v>
      </c>
      <c r="B10" s="423">
        <v>28</v>
      </c>
      <c r="C10" s="423">
        <v>2</v>
      </c>
      <c r="D10" s="423">
        <v>0</v>
      </c>
      <c r="E10" s="423">
        <v>22</v>
      </c>
      <c r="F10" s="423">
        <v>1</v>
      </c>
      <c r="G10" s="423">
        <v>53</v>
      </c>
      <c r="H10" s="424">
        <v>6.8</v>
      </c>
      <c r="I10" s="424">
        <v>0.35</v>
      </c>
      <c r="J10" s="424">
        <v>0</v>
      </c>
      <c r="K10" s="424">
        <v>6.426165000000001</v>
      </c>
      <c r="L10" s="424">
        <v>0.3</v>
      </c>
      <c r="M10" s="424">
        <v>13.876165</v>
      </c>
    </row>
    <row r="11" spans="1:13" ht="13.5" x14ac:dyDescent="0.2">
      <c r="A11" s="132" t="s">
        <v>59</v>
      </c>
      <c r="B11" s="423">
        <v>19</v>
      </c>
      <c r="C11" s="423">
        <v>1</v>
      </c>
      <c r="D11" s="423">
        <v>0</v>
      </c>
      <c r="E11" s="423">
        <v>1</v>
      </c>
      <c r="F11" s="423">
        <v>0</v>
      </c>
      <c r="G11" s="423">
        <v>21</v>
      </c>
      <c r="H11" s="424">
        <v>6.5598999999999998</v>
      </c>
      <c r="I11" s="424">
        <v>0.63</v>
      </c>
      <c r="J11" s="424">
        <v>0</v>
      </c>
      <c r="K11" s="424">
        <v>0.59550000000000003</v>
      </c>
      <c r="L11" s="424">
        <v>0</v>
      </c>
      <c r="M11" s="424">
        <v>7.7854000000000001</v>
      </c>
    </row>
    <row r="12" spans="1:13" ht="13.5" x14ac:dyDescent="0.2">
      <c r="A12" s="132" t="s">
        <v>60</v>
      </c>
      <c r="B12" s="423">
        <v>8</v>
      </c>
      <c r="C12" s="423">
        <v>1</v>
      </c>
      <c r="D12" s="423">
        <v>0</v>
      </c>
      <c r="E12" s="423">
        <v>0</v>
      </c>
      <c r="F12" s="423">
        <v>0</v>
      </c>
      <c r="G12" s="423">
        <v>9</v>
      </c>
      <c r="H12" s="424">
        <v>2.7</v>
      </c>
      <c r="I12" s="424">
        <v>0.25</v>
      </c>
      <c r="J12" s="424">
        <v>0</v>
      </c>
      <c r="K12" s="424">
        <v>0</v>
      </c>
      <c r="L12" s="424">
        <v>0</v>
      </c>
      <c r="M12" s="424">
        <v>2.95</v>
      </c>
    </row>
    <row r="13" spans="1:13" ht="13.5" x14ac:dyDescent="0.2">
      <c r="A13" s="132" t="s">
        <v>61</v>
      </c>
      <c r="B13" s="423">
        <v>47</v>
      </c>
      <c r="C13" s="423">
        <v>5</v>
      </c>
      <c r="D13" s="423">
        <v>1</v>
      </c>
      <c r="E13" s="423">
        <v>9</v>
      </c>
      <c r="F13" s="423">
        <v>2</v>
      </c>
      <c r="G13" s="423">
        <v>64</v>
      </c>
      <c r="H13" s="424">
        <v>12.8303239</v>
      </c>
      <c r="I13" s="424">
        <v>1.6303000000000001</v>
      </c>
      <c r="J13" s="424">
        <v>0.25</v>
      </c>
      <c r="K13" s="424">
        <v>1.2875000000000001</v>
      </c>
      <c r="L13" s="424">
        <v>0.33652710000000002</v>
      </c>
      <c r="M13" s="424">
        <v>16.334651000000001</v>
      </c>
    </row>
    <row r="14" spans="1:13" ht="13.5" x14ac:dyDescent="0.2">
      <c r="A14" s="132" t="s">
        <v>48</v>
      </c>
      <c r="B14" s="423">
        <v>5</v>
      </c>
      <c r="C14" s="423">
        <v>0</v>
      </c>
      <c r="D14" s="423">
        <v>0</v>
      </c>
      <c r="E14" s="423">
        <v>0</v>
      </c>
      <c r="F14" s="423">
        <v>0</v>
      </c>
      <c r="G14" s="423">
        <v>5</v>
      </c>
      <c r="H14" s="424">
        <v>0.98</v>
      </c>
      <c r="I14" s="424">
        <v>0</v>
      </c>
      <c r="J14" s="424">
        <v>0</v>
      </c>
      <c r="K14" s="424">
        <v>0</v>
      </c>
      <c r="L14" s="424">
        <v>0</v>
      </c>
      <c r="M14" s="424">
        <v>0.98</v>
      </c>
    </row>
    <row r="15" spans="1:13" ht="13.5" x14ac:dyDescent="0.2">
      <c r="A15" s="132" t="s">
        <v>49</v>
      </c>
      <c r="B15" s="423">
        <v>4</v>
      </c>
      <c r="C15" s="423">
        <v>1</v>
      </c>
      <c r="D15" s="423">
        <v>0</v>
      </c>
      <c r="E15" s="423">
        <v>0</v>
      </c>
      <c r="F15" s="423">
        <v>0</v>
      </c>
      <c r="G15" s="423">
        <v>5</v>
      </c>
      <c r="H15" s="424">
        <v>0.92120000000000002</v>
      </c>
      <c r="I15" s="424">
        <v>0.17499999999999999</v>
      </c>
      <c r="J15" s="424">
        <v>0</v>
      </c>
      <c r="K15" s="424">
        <v>0</v>
      </c>
      <c r="L15" s="424">
        <v>0</v>
      </c>
      <c r="M15" s="424">
        <v>1.0962000000000001</v>
      </c>
    </row>
    <row r="16" spans="1:13" ht="13.5" x14ac:dyDescent="0.2">
      <c r="A16" s="132" t="s">
        <v>623</v>
      </c>
      <c r="B16" s="423">
        <v>27</v>
      </c>
      <c r="C16" s="423">
        <v>1</v>
      </c>
      <c r="D16" s="423">
        <v>0</v>
      </c>
      <c r="E16" s="423">
        <v>3</v>
      </c>
      <c r="F16" s="423">
        <v>0</v>
      </c>
      <c r="G16" s="423">
        <v>31</v>
      </c>
      <c r="H16" s="424">
        <v>3.65</v>
      </c>
      <c r="I16" s="424">
        <v>0.7</v>
      </c>
      <c r="J16" s="424">
        <v>0</v>
      </c>
      <c r="K16" s="424">
        <v>0.34250000000000003</v>
      </c>
      <c r="L16" s="424">
        <v>0</v>
      </c>
      <c r="M16" s="424">
        <v>4.6924999999999999</v>
      </c>
    </row>
    <row r="17" spans="1:13" ht="13.5" x14ac:dyDescent="0.2">
      <c r="A17" s="132" t="s">
        <v>62</v>
      </c>
      <c r="B17" s="423">
        <v>4</v>
      </c>
      <c r="C17" s="423">
        <v>0</v>
      </c>
      <c r="D17" s="423">
        <v>0</v>
      </c>
      <c r="E17" s="423">
        <v>1</v>
      </c>
      <c r="F17" s="423">
        <v>0</v>
      </c>
      <c r="G17" s="423">
        <v>5</v>
      </c>
      <c r="H17" s="424">
        <v>0.55000000000000004</v>
      </c>
      <c r="I17" s="424">
        <v>0</v>
      </c>
      <c r="J17" s="424">
        <v>0</v>
      </c>
      <c r="K17" s="424">
        <v>0.14449999999999999</v>
      </c>
      <c r="L17" s="424">
        <v>0</v>
      </c>
      <c r="M17" s="424">
        <v>0.69450000000000001</v>
      </c>
    </row>
    <row r="18" spans="1:13" ht="13.5" x14ac:dyDescent="0.2">
      <c r="A18" s="132" t="s">
        <v>63</v>
      </c>
      <c r="B18" s="423">
        <v>5</v>
      </c>
      <c r="C18" s="423">
        <v>0</v>
      </c>
      <c r="D18" s="423">
        <v>0</v>
      </c>
      <c r="E18" s="423">
        <v>2</v>
      </c>
      <c r="F18" s="423">
        <v>0</v>
      </c>
      <c r="G18" s="423">
        <v>7</v>
      </c>
      <c r="H18" s="424">
        <v>2.08</v>
      </c>
      <c r="I18" s="424">
        <v>0</v>
      </c>
      <c r="J18" s="424">
        <v>0</v>
      </c>
      <c r="K18" s="424">
        <v>1.04</v>
      </c>
      <c r="L18" s="424">
        <v>0</v>
      </c>
      <c r="M18" s="424">
        <v>3.12</v>
      </c>
    </row>
    <row r="19" spans="1:13" ht="13.5" x14ac:dyDescent="0.2">
      <c r="A19" s="132" t="s">
        <v>82</v>
      </c>
      <c r="B19" s="423">
        <v>0</v>
      </c>
      <c r="C19" s="423">
        <v>0</v>
      </c>
      <c r="D19" s="423">
        <v>0</v>
      </c>
      <c r="E19" s="423">
        <v>1</v>
      </c>
      <c r="F19" s="423">
        <v>1</v>
      </c>
      <c r="G19" s="423">
        <v>2</v>
      </c>
      <c r="H19" s="424">
        <v>0</v>
      </c>
      <c r="I19" s="424">
        <v>0</v>
      </c>
      <c r="J19" s="424">
        <v>0</v>
      </c>
      <c r="K19" s="424">
        <v>0.8</v>
      </c>
      <c r="L19" s="424">
        <v>0.27</v>
      </c>
      <c r="M19" s="424">
        <v>1.07</v>
      </c>
    </row>
    <row r="20" spans="1:13" ht="13.5" x14ac:dyDescent="0.2">
      <c r="A20" s="132" t="s">
        <v>624</v>
      </c>
      <c r="B20" s="423">
        <v>7</v>
      </c>
      <c r="C20" s="423">
        <v>1</v>
      </c>
      <c r="D20" s="423">
        <v>0</v>
      </c>
      <c r="E20" s="423">
        <v>4</v>
      </c>
      <c r="F20" s="423">
        <v>0</v>
      </c>
      <c r="G20" s="423">
        <v>12</v>
      </c>
      <c r="H20" s="424">
        <v>1.454</v>
      </c>
      <c r="I20" s="424">
        <v>0.25</v>
      </c>
      <c r="J20" s="424">
        <v>0</v>
      </c>
      <c r="K20" s="424">
        <v>1.085</v>
      </c>
      <c r="L20" s="424">
        <v>0</v>
      </c>
      <c r="M20" s="424">
        <v>2.7889999999999997</v>
      </c>
    </row>
    <row r="21" spans="1:13" ht="13.5" x14ac:dyDescent="0.2">
      <c r="A21" s="132" t="s">
        <v>64</v>
      </c>
      <c r="B21" s="423">
        <v>154</v>
      </c>
      <c r="C21" s="423">
        <v>6</v>
      </c>
      <c r="D21" s="423">
        <v>0</v>
      </c>
      <c r="E21" s="423">
        <v>17</v>
      </c>
      <c r="F21" s="423">
        <v>5</v>
      </c>
      <c r="G21" s="423">
        <v>182</v>
      </c>
      <c r="H21" s="424">
        <v>29.25</v>
      </c>
      <c r="I21" s="424">
        <v>0.97490500000000002</v>
      </c>
      <c r="J21" s="424">
        <v>0</v>
      </c>
      <c r="K21" s="424">
        <v>2.6102599999999998</v>
      </c>
      <c r="L21" s="424">
        <v>0.82001000000000002</v>
      </c>
      <c r="M21" s="424">
        <v>33.655175</v>
      </c>
    </row>
    <row r="22" spans="1:13" ht="13.5" x14ac:dyDescent="0.2">
      <c r="A22" s="132" t="s">
        <v>65</v>
      </c>
      <c r="B22" s="423">
        <v>1</v>
      </c>
      <c r="C22" s="423">
        <v>0</v>
      </c>
      <c r="D22" s="423">
        <v>0</v>
      </c>
      <c r="E22" s="423">
        <v>0</v>
      </c>
      <c r="F22" s="423">
        <v>0</v>
      </c>
      <c r="G22" s="423">
        <v>1</v>
      </c>
      <c r="H22" s="424">
        <v>0.4078</v>
      </c>
      <c r="I22" s="424">
        <v>0</v>
      </c>
      <c r="J22" s="424">
        <v>0</v>
      </c>
      <c r="K22" s="424">
        <v>0</v>
      </c>
      <c r="L22" s="424">
        <v>0</v>
      </c>
      <c r="M22" s="424">
        <v>0.4078</v>
      </c>
    </row>
    <row r="23" spans="1:13" ht="13.5" x14ac:dyDescent="0.2">
      <c r="A23" s="132" t="s">
        <v>213</v>
      </c>
      <c r="B23" s="423">
        <v>5</v>
      </c>
      <c r="C23" s="423">
        <v>0</v>
      </c>
      <c r="D23" s="423">
        <v>0</v>
      </c>
      <c r="E23" s="423">
        <v>0</v>
      </c>
      <c r="F23" s="423">
        <v>0</v>
      </c>
      <c r="G23" s="423">
        <v>5</v>
      </c>
      <c r="H23" s="424">
        <v>0.52600000000000002</v>
      </c>
      <c r="I23" s="424">
        <v>0</v>
      </c>
      <c r="J23" s="424">
        <v>0</v>
      </c>
      <c r="K23" s="424">
        <v>0</v>
      </c>
      <c r="L23" s="424">
        <v>0</v>
      </c>
      <c r="M23" s="424">
        <v>0.52600000000000002</v>
      </c>
    </row>
    <row r="24" spans="1:13" ht="13.5" x14ac:dyDescent="0.2">
      <c r="A24" s="132" t="s">
        <v>66</v>
      </c>
      <c r="B24" s="423">
        <v>13</v>
      </c>
      <c r="C24" s="423">
        <v>1</v>
      </c>
      <c r="D24" s="423">
        <v>0</v>
      </c>
      <c r="E24" s="423">
        <v>3</v>
      </c>
      <c r="F24" s="423">
        <v>0</v>
      </c>
      <c r="G24" s="423">
        <v>17</v>
      </c>
      <c r="H24" s="424">
        <v>3.7592099999999999</v>
      </c>
      <c r="I24" s="424">
        <v>0.1</v>
      </c>
      <c r="J24" s="424">
        <v>0</v>
      </c>
      <c r="K24" s="424">
        <v>0.39350000000000002</v>
      </c>
      <c r="L24" s="424">
        <v>0</v>
      </c>
      <c r="M24" s="424">
        <v>4.2527100000000004</v>
      </c>
    </row>
    <row r="25" spans="1:13" ht="13.5" x14ac:dyDescent="0.2">
      <c r="A25" s="132" t="s">
        <v>67</v>
      </c>
      <c r="B25" s="423">
        <v>8</v>
      </c>
      <c r="C25" s="423">
        <v>0</v>
      </c>
      <c r="D25" s="423">
        <v>0</v>
      </c>
      <c r="E25" s="423">
        <v>3</v>
      </c>
      <c r="F25" s="423">
        <v>0</v>
      </c>
      <c r="G25" s="423">
        <v>11</v>
      </c>
      <c r="H25" s="424">
        <v>1.03</v>
      </c>
      <c r="I25" s="424">
        <v>0</v>
      </c>
      <c r="J25" s="424">
        <v>0</v>
      </c>
      <c r="K25" s="424">
        <v>0.47</v>
      </c>
      <c r="L25" s="424">
        <v>0</v>
      </c>
      <c r="M25" s="424">
        <v>1.5</v>
      </c>
    </row>
    <row r="26" spans="1:13" ht="13.5" x14ac:dyDescent="0.2">
      <c r="A26" s="132" t="s">
        <v>50</v>
      </c>
      <c r="B26" s="423">
        <v>3</v>
      </c>
      <c r="C26" s="423">
        <v>0</v>
      </c>
      <c r="D26" s="423">
        <v>0</v>
      </c>
      <c r="E26" s="423">
        <v>0</v>
      </c>
      <c r="F26" s="423">
        <v>0</v>
      </c>
      <c r="G26" s="423">
        <v>3</v>
      </c>
      <c r="H26" s="424">
        <v>0.39</v>
      </c>
      <c r="I26" s="424">
        <v>0</v>
      </c>
      <c r="J26" s="424">
        <v>0</v>
      </c>
      <c r="K26" s="424">
        <v>0</v>
      </c>
      <c r="L26" s="424">
        <v>0</v>
      </c>
      <c r="M26" s="424">
        <v>0.39</v>
      </c>
    </row>
    <row r="27" spans="1:13" ht="13.5" x14ac:dyDescent="0.2">
      <c r="A27" s="134" t="s">
        <v>625</v>
      </c>
      <c r="B27" s="425">
        <v>403</v>
      </c>
      <c r="C27" s="425">
        <v>25</v>
      </c>
      <c r="D27" s="425">
        <v>1</v>
      </c>
      <c r="E27" s="425">
        <v>79</v>
      </c>
      <c r="F27" s="425">
        <v>10</v>
      </c>
      <c r="G27" s="425">
        <v>518</v>
      </c>
      <c r="H27" s="89">
        <v>77.970033200000003</v>
      </c>
      <c r="I27" s="89">
        <v>5.3102049999999998</v>
      </c>
      <c r="J27" s="89">
        <v>0.25</v>
      </c>
      <c r="K27" s="89">
        <v>13.630224999999999</v>
      </c>
      <c r="L27" s="89">
        <v>2.1365371</v>
      </c>
      <c r="M27" s="89">
        <v>110.527101</v>
      </c>
    </row>
    <row r="28" spans="1:13" ht="13.5" x14ac:dyDescent="0.2">
      <c r="A28" s="132" t="s">
        <v>626</v>
      </c>
      <c r="B28" s="423">
        <v>1</v>
      </c>
      <c r="C28" s="423">
        <v>0</v>
      </c>
      <c r="D28" s="423">
        <v>0</v>
      </c>
      <c r="E28" s="423">
        <v>0</v>
      </c>
      <c r="F28" s="423">
        <v>0</v>
      </c>
      <c r="G28" s="423">
        <v>1</v>
      </c>
      <c r="H28" s="424">
        <v>0.15</v>
      </c>
      <c r="I28" s="424">
        <v>0</v>
      </c>
      <c r="J28" s="424">
        <v>0</v>
      </c>
      <c r="K28" s="424">
        <v>0</v>
      </c>
      <c r="L28" s="424">
        <v>0</v>
      </c>
      <c r="M28" s="424">
        <v>0.15</v>
      </c>
    </row>
    <row r="29" spans="1:13" ht="13.5" x14ac:dyDescent="0.2">
      <c r="A29" s="132" t="s">
        <v>70</v>
      </c>
      <c r="B29" s="423">
        <v>37</v>
      </c>
      <c r="C29" s="423">
        <v>3</v>
      </c>
      <c r="D29" s="423">
        <v>0</v>
      </c>
      <c r="E29" s="423">
        <v>16</v>
      </c>
      <c r="F29" s="423">
        <v>3</v>
      </c>
      <c r="G29" s="423">
        <v>59</v>
      </c>
      <c r="H29" s="424">
        <v>7.4834999999999994</v>
      </c>
      <c r="I29" s="424">
        <v>0.66</v>
      </c>
      <c r="J29" s="424">
        <v>0</v>
      </c>
      <c r="K29" s="424">
        <v>2.98</v>
      </c>
      <c r="L29" s="424">
        <v>0.46050000000000002</v>
      </c>
      <c r="M29" s="424">
        <v>11.584</v>
      </c>
    </row>
    <row r="30" spans="1:13" ht="13.5" x14ac:dyDescent="0.2">
      <c r="A30" s="134" t="s">
        <v>627</v>
      </c>
      <c r="B30" s="425">
        <v>38</v>
      </c>
      <c r="C30" s="425">
        <v>3</v>
      </c>
      <c r="D30" s="425">
        <v>0</v>
      </c>
      <c r="E30" s="425">
        <v>16</v>
      </c>
      <c r="F30" s="425">
        <v>3</v>
      </c>
      <c r="G30" s="425">
        <v>60</v>
      </c>
      <c r="H30" s="89">
        <v>6.2335000000000003</v>
      </c>
      <c r="I30" s="89">
        <v>0.51</v>
      </c>
      <c r="J30" s="89">
        <v>0</v>
      </c>
      <c r="K30" s="89">
        <v>1.1475</v>
      </c>
      <c r="L30" s="89">
        <v>0.46050000000000002</v>
      </c>
      <c r="M30" s="89">
        <v>11.734</v>
      </c>
    </row>
    <row r="31" spans="1:13" ht="13.5" x14ac:dyDescent="0.2">
      <c r="A31" s="132" t="s">
        <v>47</v>
      </c>
      <c r="B31" s="423">
        <v>1</v>
      </c>
      <c r="C31" s="423">
        <v>0</v>
      </c>
      <c r="D31" s="423">
        <v>0</v>
      </c>
      <c r="E31" s="423">
        <v>0</v>
      </c>
      <c r="F31" s="423">
        <v>0</v>
      </c>
      <c r="G31" s="423">
        <v>1</v>
      </c>
      <c r="H31" s="424">
        <v>0.25</v>
      </c>
      <c r="I31" s="424">
        <v>0</v>
      </c>
      <c r="J31" s="424">
        <v>0</v>
      </c>
      <c r="K31" s="424">
        <v>0</v>
      </c>
      <c r="L31" s="424">
        <v>0</v>
      </c>
      <c r="M31" s="424">
        <v>0.25</v>
      </c>
    </row>
    <row r="32" spans="1:13" ht="13.5" x14ac:dyDescent="0.2">
      <c r="A32" s="132" t="s">
        <v>71</v>
      </c>
      <c r="B32" s="423">
        <v>14</v>
      </c>
      <c r="C32" s="423">
        <v>0</v>
      </c>
      <c r="D32" s="423">
        <v>0</v>
      </c>
      <c r="E32" s="423">
        <v>1</v>
      </c>
      <c r="F32" s="423">
        <v>0</v>
      </c>
      <c r="G32" s="423">
        <v>15</v>
      </c>
      <c r="H32" s="424">
        <v>3.141</v>
      </c>
      <c r="I32" s="424">
        <v>0</v>
      </c>
      <c r="J32" s="424">
        <v>0</v>
      </c>
      <c r="K32" s="424">
        <v>0.5</v>
      </c>
      <c r="L32" s="424">
        <v>0</v>
      </c>
      <c r="M32" s="424">
        <v>3.641</v>
      </c>
    </row>
    <row r="33" spans="1:13" ht="13.5" x14ac:dyDescent="0.2">
      <c r="A33" s="132" t="s">
        <v>72</v>
      </c>
      <c r="B33" s="423">
        <v>2</v>
      </c>
      <c r="C33" s="423">
        <v>0</v>
      </c>
      <c r="D33" s="423">
        <v>0</v>
      </c>
      <c r="E33" s="423">
        <v>0</v>
      </c>
      <c r="F33" s="423">
        <v>0</v>
      </c>
      <c r="G33" s="423">
        <v>2</v>
      </c>
      <c r="H33" s="424">
        <v>0.3</v>
      </c>
      <c r="I33" s="424">
        <v>0</v>
      </c>
      <c r="J33" s="424">
        <v>0</v>
      </c>
      <c r="K33" s="424">
        <v>0</v>
      </c>
      <c r="L33" s="424">
        <v>0</v>
      </c>
      <c r="M33" s="424">
        <v>0.3</v>
      </c>
    </row>
    <row r="34" spans="1:13" ht="13.5" x14ac:dyDescent="0.2">
      <c r="A34" s="132" t="s">
        <v>628</v>
      </c>
      <c r="B34" s="423">
        <v>29</v>
      </c>
      <c r="C34" s="423">
        <v>0</v>
      </c>
      <c r="D34" s="423">
        <v>0</v>
      </c>
      <c r="E34" s="423">
        <v>3</v>
      </c>
      <c r="F34" s="423">
        <v>1</v>
      </c>
      <c r="G34" s="423">
        <v>33</v>
      </c>
      <c r="H34" s="424">
        <v>6.3960029</v>
      </c>
      <c r="I34" s="424">
        <v>0</v>
      </c>
      <c r="J34" s="424">
        <v>0</v>
      </c>
      <c r="K34" s="424">
        <v>0.41699999999999998</v>
      </c>
      <c r="L34" s="424">
        <v>0.156</v>
      </c>
      <c r="M34" s="424">
        <v>6.9690028999999996</v>
      </c>
    </row>
    <row r="35" spans="1:13" ht="13.5" x14ac:dyDescent="0.2">
      <c r="A35" s="134" t="s">
        <v>629</v>
      </c>
      <c r="B35" s="425">
        <v>46</v>
      </c>
      <c r="C35" s="425">
        <v>0</v>
      </c>
      <c r="D35" s="425">
        <v>0</v>
      </c>
      <c r="E35" s="425">
        <v>4</v>
      </c>
      <c r="F35" s="425">
        <v>1</v>
      </c>
      <c r="G35" s="425">
        <v>51</v>
      </c>
      <c r="H35" s="89">
        <v>10.0870029</v>
      </c>
      <c r="I35" s="89">
        <v>0</v>
      </c>
      <c r="J35" s="89">
        <v>0</v>
      </c>
      <c r="K35" s="89">
        <v>0.91700000000000004</v>
      </c>
      <c r="L35" s="89">
        <v>0.156</v>
      </c>
      <c r="M35" s="89">
        <v>11.160002899999999</v>
      </c>
    </row>
    <row r="36" spans="1:13" ht="13.5" x14ac:dyDescent="0.2">
      <c r="A36" s="132" t="s">
        <v>46</v>
      </c>
      <c r="B36" s="423">
        <v>6</v>
      </c>
      <c r="C36" s="423">
        <v>0</v>
      </c>
      <c r="D36" s="423">
        <v>0</v>
      </c>
      <c r="E36" s="423">
        <v>2</v>
      </c>
      <c r="F36" s="423">
        <v>0</v>
      </c>
      <c r="G36" s="423">
        <v>8</v>
      </c>
      <c r="H36" s="424">
        <v>1.8089999999999999</v>
      </c>
      <c r="I36" s="424">
        <v>0</v>
      </c>
      <c r="J36" s="424">
        <v>0</v>
      </c>
      <c r="K36" s="424">
        <v>0.35</v>
      </c>
      <c r="L36" s="424">
        <v>0</v>
      </c>
      <c r="M36" s="424">
        <v>2.1589999999999998</v>
      </c>
    </row>
    <row r="37" spans="1:13" ht="13.5" x14ac:dyDescent="0.2">
      <c r="A37" s="132" t="s">
        <v>229</v>
      </c>
      <c r="B37" s="423">
        <v>2</v>
      </c>
      <c r="C37" s="423">
        <v>1</v>
      </c>
      <c r="D37" s="423">
        <v>0</v>
      </c>
      <c r="E37" s="423">
        <v>2</v>
      </c>
      <c r="F37" s="423">
        <v>0</v>
      </c>
      <c r="G37" s="423">
        <v>5</v>
      </c>
      <c r="H37" s="424">
        <v>0.35</v>
      </c>
      <c r="I37" s="424">
        <v>0.1</v>
      </c>
      <c r="J37" s="424">
        <v>0</v>
      </c>
      <c r="K37" s="424">
        <v>0.38</v>
      </c>
      <c r="L37" s="424">
        <v>0</v>
      </c>
      <c r="M37" s="424">
        <v>0.83</v>
      </c>
    </row>
    <row r="38" spans="1:13" ht="13.5" x14ac:dyDescent="0.2">
      <c r="A38" s="132" t="s">
        <v>52</v>
      </c>
      <c r="B38" s="423">
        <v>10</v>
      </c>
      <c r="C38" s="423">
        <v>1</v>
      </c>
      <c r="D38" s="423">
        <v>0</v>
      </c>
      <c r="E38" s="423">
        <v>10</v>
      </c>
      <c r="F38" s="423">
        <v>1</v>
      </c>
      <c r="G38" s="423">
        <v>22</v>
      </c>
      <c r="H38" s="424">
        <v>3.2730000000000001</v>
      </c>
      <c r="I38" s="424">
        <v>0.1</v>
      </c>
      <c r="J38" s="424">
        <v>0</v>
      </c>
      <c r="K38" s="424">
        <v>1.51203</v>
      </c>
      <c r="L38" s="424">
        <v>0.5</v>
      </c>
      <c r="M38" s="424">
        <v>5.3850300000000004</v>
      </c>
    </row>
    <row r="39" spans="1:13" ht="13.5" x14ac:dyDescent="0.2">
      <c r="A39" s="134" t="s">
        <v>630</v>
      </c>
      <c r="B39" s="425">
        <v>18</v>
      </c>
      <c r="C39" s="425">
        <v>2</v>
      </c>
      <c r="D39" s="425">
        <v>0</v>
      </c>
      <c r="E39" s="425">
        <v>14</v>
      </c>
      <c r="F39" s="425">
        <v>1</v>
      </c>
      <c r="G39" s="425">
        <v>35</v>
      </c>
      <c r="H39" s="89">
        <v>5.3319999999999999</v>
      </c>
      <c r="I39" s="89">
        <v>0.1</v>
      </c>
      <c r="J39" s="89">
        <v>0</v>
      </c>
      <c r="K39" s="89">
        <v>2.1370300000000002</v>
      </c>
      <c r="L39" s="89">
        <v>0.5</v>
      </c>
      <c r="M39" s="89">
        <v>8.3740300000000012</v>
      </c>
    </row>
    <row r="40" spans="1:13" ht="13.5" x14ac:dyDescent="0.2">
      <c r="A40" s="134" t="s">
        <v>292</v>
      </c>
      <c r="B40" s="425">
        <v>505</v>
      </c>
      <c r="C40" s="425">
        <v>30</v>
      </c>
      <c r="D40" s="425">
        <v>1</v>
      </c>
      <c r="E40" s="425">
        <v>113</v>
      </c>
      <c r="F40" s="425">
        <v>15</v>
      </c>
      <c r="G40" s="425">
        <v>664</v>
      </c>
      <c r="H40" s="89">
        <v>99.622536100000005</v>
      </c>
      <c r="I40" s="89">
        <v>5.9202050000000002</v>
      </c>
      <c r="J40" s="89">
        <v>0.25</v>
      </c>
      <c r="K40" s="89">
        <v>17.831755000000001</v>
      </c>
      <c r="L40" s="89">
        <v>3.2530371000000002</v>
      </c>
      <c r="M40" s="89">
        <v>141.7951339</v>
      </c>
    </row>
    <row r="41" spans="1:13" x14ac:dyDescent="0.2">
      <c r="B41" s="426" t="s">
        <v>1243</v>
      </c>
    </row>
  </sheetData>
  <mergeCells count="10">
    <mergeCell ref="A1:M1"/>
    <mergeCell ref="B4:G4"/>
    <mergeCell ref="H4:M4"/>
    <mergeCell ref="B5:D5"/>
    <mergeCell ref="E5:F5"/>
    <mergeCell ref="G5:G6"/>
    <mergeCell ref="H5:J5"/>
    <mergeCell ref="K5:L5"/>
    <mergeCell ref="M5:M6"/>
    <mergeCell ref="A4:A6"/>
  </mergeCells>
  <pageMargins left="0.7" right="0.7" top="0.5" bottom="0.5" header="0.3" footer="0.3"/>
  <pageSetup paperSize="9" scale="90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tabSelected="1" view="pageBreakPreview" zoomScale="60" zoomScaleNormal="100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X33" sqref="X33"/>
    </sheetView>
  </sheetViews>
  <sheetFormatPr defaultRowHeight="12.75" x14ac:dyDescent="0.2"/>
  <cols>
    <col min="1" max="1" width="4.5703125" style="656" customWidth="1"/>
    <col min="2" max="2" width="15.85546875" style="623" customWidth="1"/>
    <col min="3" max="12" width="9.140625" style="623"/>
    <col min="13" max="13" width="6.5703125" style="623" customWidth="1"/>
    <col min="14" max="16384" width="9.140625" style="623"/>
  </cols>
  <sheetData>
    <row r="1" spans="1:20" ht="40.5" customHeight="1" thickBot="1" x14ac:dyDescent="0.25">
      <c r="A1" s="622" t="s">
        <v>1248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 t="s">
        <v>1249</v>
      </c>
      <c r="Q1" s="622"/>
      <c r="R1" s="622"/>
      <c r="S1" s="622"/>
      <c r="T1" s="622"/>
    </row>
    <row r="2" spans="1:20" ht="13.5" thickBot="1" x14ac:dyDescent="0.25">
      <c r="A2" s="624" t="s">
        <v>1293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6"/>
    </row>
    <row r="3" spans="1:20" ht="66" customHeight="1" x14ac:dyDescent="0.2">
      <c r="A3" s="627" t="s">
        <v>1250</v>
      </c>
      <c r="B3" s="628" t="s">
        <v>105</v>
      </c>
      <c r="C3" s="629" t="s">
        <v>1251</v>
      </c>
      <c r="D3" s="630"/>
      <c r="E3" s="631" t="s">
        <v>1252</v>
      </c>
      <c r="F3" s="631"/>
      <c r="G3" s="631" t="s">
        <v>1253</v>
      </c>
      <c r="H3" s="631"/>
      <c r="I3" s="631" t="s">
        <v>1254</v>
      </c>
      <c r="J3" s="631"/>
      <c r="K3" s="631" t="s">
        <v>1255</v>
      </c>
      <c r="L3" s="631"/>
      <c r="M3" s="631" t="s">
        <v>1256</v>
      </c>
      <c r="N3" s="631"/>
      <c r="O3" s="631" t="s">
        <v>1257</v>
      </c>
      <c r="P3" s="631"/>
      <c r="Q3" s="631" t="s">
        <v>1258</v>
      </c>
      <c r="R3" s="631"/>
      <c r="S3" s="631" t="s">
        <v>1259</v>
      </c>
      <c r="T3" s="632"/>
    </row>
    <row r="4" spans="1:20" x14ac:dyDescent="0.2">
      <c r="A4" s="633"/>
      <c r="B4" s="634"/>
      <c r="C4" s="634" t="s">
        <v>1260</v>
      </c>
      <c r="D4" s="634" t="s">
        <v>23</v>
      </c>
      <c r="E4" s="634" t="s">
        <v>1260</v>
      </c>
      <c r="F4" s="634" t="s">
        <v>23</v>
      </c>
      <c r="G4" s="634" t="s">
        <v>1260</v>
      </c>
      <c r="H4" s="634" t="s">
        <v>23</v>
      </c>
      <c r="I4" s="634" t="s">
        <v>1260</v>
      </c>
      <c r="J4" s="634" t="s">
        <v>23</v>
      </c>
      <c r="K4" s="634" t="s">
        <v>1260</v>
      </c>
      <c r="L4" s="634" t="s">
        <v>23</v>
      </c>
      <c r="M4" s="634" t="s">
        <v>1260</v>
      </c>
      <c r="N4" s="634" t="s">
        <v>23</v>
      </c>
      <c r="O4" s="634" t="s">
        <v>1260</v>
      </c>
      <c r="P4" s="634" t="s">
        <v>23</v>
      </c>
      <c r="Q4" s="634" t="s">
        <v>1260</v>
      </c>
      <c r="R4" s="634" t="s">
        <v>23</v>
      </c>
      <c r="S4" s="634" t="s">
        <v>1260</v>
      </c>
      <c r="T4" s="635" t="s">
        <v>23</v>
      </c>
    </row>
    <row r="5" spans="1:20" ht="13.5" thickBot="1" x14ac:dyDescent="0.25">
      <c r="A5" s="636">
        <v>1</v>
      </c>
      <c r="B5" s="637">
        <v>2</v>
      </c>
      <c r="C5" s="636">
        <v>3</v>
      </c>
      <c r="D5" s="637">
        <v>4</v>
      </c>
      <c r="E5" s="636">
        <v>3</v>
      </c>
      <c r="F5" s="637">
        <v>4</v>
      </c>
      <c r="G5" s="636">
        <v>5</v>
      </c>
      <c r="H5" s="637">
        <v>6</v>
      </c>
      <c r="I5" s="636">
        <v>7</v>
      </c>
      <c r="J5" s="637">
        <v>8</v>
      </c>
      <c r="K5" s="636">
        <v>9</v>
      </c>
      <c r="L5" s="637">
        <v>10</v>
      </c>
      <c r="M5" s="636">
        <v>11</v>
      </c>
      <c r="N5" s="637">
        <v>12</v>
      </c>
      <c r="O5" s="636">
        <v>13</v>
      </c>
      <c r="P5" s="637">
        <v>14</v>
      </c>
      <c r="Q5" s="636">
        <v>15</v>
      </c>
      <c r="R5" s="637">
        <v>16</v>
      </c>
      <c r="S5" s="636">
        <v>17</v>
      </c>
      <c r="T5" s="637">
        <v>18</v>
      </c>
    </row>
    <row r="6" spans="1:20" ht="15" x14ac:dyDescent="0.25">
      <c r="A6" s="638">
        <v>1</v>
      </c>
      <c r="B6" s="639" t="s">
        <v>1261</v>
      </c>
      <c r="C6" s="640">
        <v>757</v>
      </c>
      <c r="D6" s="641">
        <v>933.5</v>
      </c>
      <c r="E6" s="642">
        <v>594</v>
      </c>
      <c r="F6" s="641">
        <v>794.9</v>
      </c>
      <c r="G6" s="642">
        <v>7</v>
      </c>
      <c r="H6" s="641">
        <v>4.6500000000000004</v>
      </c>
      <c r="I6" s="642">
        <v>418</v>
      </c>
      <c r="J6" s="641">
        <v>534.29999999999995</v>
      </c>
      <c r="K6" s="642">
        <v>425</v>
      </c>
      <c r="L6" s="641">
        <v>538.94999999999993</v>
      </c>
      <c r="M6" s="642">
        <v>0</v>
      </c>
      <c r="N6" s="641">
        <v>0</v>
      </c>
      <c r="O6" s="640">
        <v>176</v>
      </c>
      <c r="P6" s="641">
        <v>260.60000000000002</v>
      </c>
      <c r="Q6" s="640">
        <v>375</v>
      </c>
      <c r="R6" s="641">
        <v>422.3</v>
      </c>
      <c r="S6" s="640">
        <v>50</v>
      </c>
      <c r="T6" s="643">
        <v>116.65</v>
      </c>
    </row>
    <row r="7" spans="1:20" ht="15.75" thickBot="1" x14ac:dyDescent="0.3">
      <c r="A7" s="644">
        <v>2</v>
      </c>
      <c r="B7" s="645" t="s">
        <v>1262</v>
      </c>
      <c r="C7" s="646">
        <v>0</v>
      </c>
      <c r="D7" s="647">
        <v>0</v>
      </c>
      <c r="E7" s="646">
        <v>14</v>
      </c>
      <c r="F7" s="647">
        <v>21</v>
      </c>
      <c r="G7" s="648">
        <v>0</v>
      </c>
      <c r="H7" s="647">
        <v>0</v>
      </c>
      <c r="I7" s="648">
        <v>7</v>
      </c>
      <c r="J7" s="647">
        <v>7</v>
      </c>
      <c r="K7" s="648">
        <v>7</v>
      </c>
      <c r="L7" s="647">
        <v>7</v>
      </c>
      <c r="M7" s="648">
        <v>0</v>
      </c>
      <c r="N7" s="647">
        <v>0</v>
      </c>
      <c r="O7" s="646">
        <v>7</v>
      </c>
      <c r="P7" s="647">
        <v>14</v>
      </c>
      <c r="Q7" s="646">
        <v>7</v>
      </c>
      <c r="R7" s="647">
        <v>7</v>
      </c>
      <c r="S7" s="646">
        <v>0</v>
      </c>
      <c r="T7" s="649">
        <v>0</v>
      </c>
    </row>
    <row r="8" spans="1:20" ht="15" x14ac:dyDescent="0.25">
      <c r="A8" s="638">
        <v>3</v>
      </c>
      <c r="B8" s="645" t="s">
        <v>1263</v>
      </c>
      <c r="C8" s="646">
        <v>19</v>
      </c>
      <c r="D8" s="647">
        <v>18</v>
      </c>
      <c r="E8" s="646">
        <v>0</v>
      </c>
      <c r="F8" s="647">
        <v>0</v>
      </c>
      <c r="G8" s="648">
        <v>0</v>
      </c>
      <c r="H8" s="647">
        <v>0</v>
      </c>
      <c r="I8" s="648">
        <v>0</v>
      </c>
      <c r="J8" s="647">
        <v>0</v>
      </c>
      <c r="K8" s="648">
        <v>0</v>
      </c>
      <c r="L8" s="647">
        <v>0</v>
      </c>
      <c r="M8" s="648">
        <v>0</v>
      </c>
      <c r="N8" s="647">
        <v>0</v>
      </c>
      <c r="O8" s="646">
        <v>0</v>
      </c>
      <c r="P8" s="647">
        <v>0</v>
      </c>
      <c r="Q8" s="646">
        <v>0</v>
      </c>
      <c r="R8" s="647">
        <v>0</v>
      </c>
      <c r="S8" s="646">
        <v>0</v>
      </c>
      <c r="T8" s="649">
        <v>0</v>
      </c>
    </row>
    <row r="9" spans="1:20" ht="15.75" thickBot="1" x14ac:dyDescent="0.3">
      <c r="A9" s="644">
        <v>4</v>
      </c>
      <c r="B9" s="645" t="s">
        <v>1264</v>
      </c>
      <c r="C9" s="646">
        <v>3</v>
      </c>
      <c r="D9" s="647">
        <v>3</v>
      </c>
      <c r="E9" s="646">
        <v>0</v>
      </c>
      <c r="F9" s="647">
        <v>0</v>
      </c>
      <c r="G9" s="648">
        <v>0</v>
      </c>
      <c r="H9" s="647">
        <v>0</v>
      </c>
      <c r="I9" s="648">
        <v>0</v>
      </c>
      <c r="J9" s="647">
        <v>0</v>
      </c>
      <c r="K9" s="648">
        <v>0</v>
      </c>
      <c r="L9" s="647">
        <v>0</v>
      </c>
      <c r="M9" s="648">
        <v>0</v>
      </c>
      <c r="N9" s="647">
        <v>0</v>
      </c>
      <c r="O9" s="646">
        <v>0</v>
      </c>
      <c r="P9" s="647">
        <v>0</v>
      </c>
      <c r="Q9" s="646">
        <v>0</v>
      </c>
      <c r="R9" s="647">
        <v>0</v>
      </c>
      <c r="S9" s="646">
        <v>0</v>
      </c>
      <c r="T9" s="649">
        <v>0</v>
      </c>
    </row>
    <row r="10" spans="1:20" ht="15" x14ac:dyDescent="0.25">
      <c r="A10" s="638">
        <v>5</v>
      </c>
      <c r="B10" s="645" t="s">
        <v>1265</v>
      </c>
      <c r="C10" s="646">
        <v>777</v>
      </c>
      <c r="D10" s="647">
        <v>774</v>
      </c>
      <c r="E10" s="646">
        <v>438</v>
      </c>
      <c r="F10" s="647">
        <v>787.56000000000006</v>
      </c>
      <c r="G10" s="648">
        <v>17</v>
      </c>
      <c r="H10" s="647">
        <v>17</v>
      </c>
      <c r="I10" s="648">
        <v>124</v>
      </c>
      <c r="J10" s="647">
        <v>206.86</v>
      </c>
      <c r="K10" s="648">
        <v>141</v>
      </c>
      <c r="L10" s="647">
        <v>223.86</v>
      </c>
      <c r="M10" s="648">
        <v>0</v>
      </c>
      <c r="N10" s="647">
        <v>0</v>
      </c>
      <c r="O10" s="646">
        <v>314</v>
      </c>
      <c r="P10" s="647">
        <v>580.70000000000005</v>
      </c>
      <c r="Q10" s="646">
        <v>113</v>
      </c>
      <c r="R10" s="647">
        <v>132.86000000000001</v>
      </c>
      <c r="S10" s="646">
        <v>28</v>
      </c>
      <c r="T10" s="649">
        <v>91</v>
      </c>
    </row>
    <row r="11" spans="1:20" ht="15.75" thickBot="1" x14ac:dyDescent="0.3">
      <c r="A11" s="644">
        <v>6</v>
      </c>
      <c r="B11" s="645" t="s">
        <v>1266</v>
      </c>
      <c r="C11" s="646">
        <v>1722</v>
      </c>
      <c r="D11" s="647">
        <v>1553.365</v>
      </c>
      <c r="E11" s="646">
        <v>1311</v>
      </c>
      <c r="F11" s="647">
        <v>1624.1000000000006</v>
      </c>
      <c r="G11" s="648">
        <v>263</v>
      </c>
      <c r="H11" s="647">
        <v>261.67</v>
      </c>
      <c r="I11" s="648">
        <v>879</v>
      </c>
      <c r="J11" s="647">
        <v>927.75999999999988</v>
      </c>
      <c r="K11" s="648">
        <v>1140</v>
      </c>
      <c r="L11" s="647">
        <v>1192.48</v>
      </c>
      <c r="M11" s="648">
        <v>15</v>
      </c>
      <c r="N11" s="647">
        <v>7.5</v>
      </c>
      <c r="O11" s="646">
        <v>417</v>
      </c>
      <c r="P11" s="647">
        <v>688.84</v>
      </c>
      <c r="Q11" s="646">
        <v>738</v>
      </c>
      <c r="R11" s="647">
        <v>724.99</v>
      </c>
      <c r="S11" s="646">
        <v>402</v>
      </c>
      <c r="T11" s="649">
        <v>467.49</v>
      </c>
    </row>
    <row r="12" spans="1:20" ht="15" x14ac:dyDescent="0.25">
      <c r="A12" s="638">
        <v>7</v>
      </c>
      <c r="B12" s="645" t="s">
        <v>1267</v>
      </c>
      <c r="C12" s="646">
        <v>217</v>
      </c>
      <c r="D12" s="647">
        <v>270.5</v>
      </c>
      <c r="E12" s="648">
        <v>327</v>
      </c>
      <c r="F12" s="647">
        <v>254.45999999999998</v>
      </c>
      <c r="G12" s="648">
        <v>54</v>
      </c>
      <c r="H12" s="647">
        <v>56.75</v>
      </c>
      <c r="I12" s="648">
        <v>180</v>
      </c>
      <c r="J12" s="647">
        <v>141</v>
      </c>
      <c r="K12" s="648">
        <v>234</v>
      </c>
      <c r="L12" s="647">
        <v>197.75</v>
      </c>
      <c r="M12" s="648">
        <v>0</v>
      </c>
      <c r="N12" s="647">
        <v>0</v>
      </c>
      <c r="O12" s="646">
        <v>147</v>
      </c>
      <c r="P12" s="647">
        <v>113.46000000000001</v>
      </c>
      <c r="Q12" s="646">
        <v>215</v>
      </c>
      <c r="R12" s="647">
        <v>171.75</v>
      </c>
      <c r="S12" s="646">
        <v>19</v>
      </c>
      <c r="T12" s="649">
        <v>25.999999999999996</v>
      </c>
    </row>
    <row r="13" spans="1:20" ht="15.75" thickBot="1" x14ac:dyDescent="0.3">
      <c r="A13" s="644">
        <v>8</v>
      </c>
      <c r="B13" s="645" t="s">
        <v>1268</v>
      </c>
      <c r="C13" s="646">
        <v>194</v>
      </c>
      <c r="D13" s="647">
        <v>223.32499999999999</v>
      </c>
      <c r="E13" s="646">
        <v>127</v>
      </c>
      <c r="F13" s="647">
        <v>138.25</v>
      </c>
      <c r="G13" s="648">
        <v>4</v>
      </c>
      <c r="H13" s="647">
        <v>8</v>
      </c>
      <c r="I13" s="648">
        <v>63</v>
      </c>
      <c r="J13" s="647">
        <v>78.599999999999994</v>
      </c>
      <c r="K13" s="648">
        <v>67</v>
      </c>
      <c r="L13" s="647">
        <v>86.6</v>
      </c>
      <c r="M13" s="648">
        <v>0</v>
      </c>
      <c r="N13" s="647">
        <v>0</v>
      </c>
      <c r="O13" s="646">
        <v>64</v>
      </c>
      <c r="P13" s="647">
        <v>59.65</v>
      </c>
      <c r="Q13" s="646">
        <v>37</v>
      </c>
      <c r="R13" s="647">
        <v>42.1</v>
      </c>
      <c r="S13" s="646">
        <v>30</v>
      </c>
      <c r="T13" s="649">
        <v>44.5</v>
      </c>
    </row>
    <row r="14" spans="1:20" ht="15" x14ac:dyDescent="0.25">
      <c r="A14" s="638">
        <v>9</v>
      </c>
      <c r="B14" s="645" t="s">
        <v>1269</v>
      </c>
      <c r="C14" s="646">
        <v>3582.9</v>
      </c>
      <c r="D14" s="647">
        <v>3283.9524999999999</v>
      </c>
      <c r="E14" s="646">
        <v>3461</v>
      </c>
      <c r="F14" s="647">
        <v>4305.1654399999998</v>
      </c>
      <c r="G14" s="648">
        <v>137</v>
      </c>
      <c r="H14" s="647">
        <v>177</v>
      </c>
      <c r="I14" s="648">
        <v>2210</v>
      </c>
      <c r="J14" s="647">
        <v>2173.6684399999999</v>
      </c>
      <c r="K14" s="648">
        <v>2347</v>
      </c>
      <c r="L14" s="647">
        <v>2350.6684399999999</v>
      </c>
      <c r="M14" s="648">
        <v>3</v>
      </c>
      <c r="N14" s="647">
        <v>3</v>
      </c>
      <c r="O14" s="646">
        <v>1248</v>
      </c>
      <c r="P14" s="647">
        <v>2128.4969999999998</v>
      </c>
      <c r="Q14" s="646">
        <v>1919</v>
      </c>
      <c r="R14" s="647">
        <v>1788.0400000000002</v>
      </c>
      <c r="S14" s="646">
        <v>428</v>
      </c>
      <c r="T14" s="649">
        <v>562.62844000000007</v>
      </c>
    </row>
    <row r="15" spans="1:20" ht="15.75" thickBot="1" x14ac:dyDescent="0.3">
      <c r="A15" s="644">
        <v>10</v>
      </c>
      <c r="B15" s="645" t="s">
        <v>1270</v>
      </c>
      <c r="C15" s="646">
        <v>4389.5</v>
      </c>
      <c r="D15" s="647">
        <v>3709.8274999999999</v>
      </c>
      <c r="E15" s="648">
        <v>3776</v>
      </c>
      <c r="F15" s="647">
        <v>3652.6525999999999</v>
      </c>
      <c r="G15" s="648">
        <v>64</v>
      </c>
      <c r="H15" s="647">
        <v>97.25</v>
      </c>
      <c r="I15" s="648">
        <v>2271</v>
      </c>
      <c r="J15" s="647">
        <v>2025.1130000000001</v>
      </c>
      <c r="K15" s="648">
        <v>2335</v>
      </c>
      <c r="L15" s="647">
        <v>2122.3630000000003</v>
      </c>
      <c r="M15" s="648">
        <v>36</v>
      </c>
      <c r="N15" s="647">
        <v>40</v>
      </c>
      <c r="O15" s="646">
        <v>1469</v>
      </c>
      <c r="P15" s="647">
        <v>1587.5395999999998</v>
      </c>
      <c r="Q15" s="646">
        <v>1845</v>
      </c>
      <c r="R15" s="647">
        <v>1647.7476000000006</v>
      </c>
      <c r="S15" s="646">
        <v>490</v>
      </c>
      <c r="T15" s="649">
        <v>474.61540000000014</v>
      </c>
    </row>
    <row r="16" spans="1:20" ht="15" x14ac:dyDescent="0.25">
      <c r="A16" s="638">
        <v>11</v>
      </c>
      <c r="B16" s="645" t="s">
        <v>1271</v>
      </c>
      <c r="C16" s="646">
        <v>52</v>
      </c>
      <c r="D16" s="647">
        <v>47</v>
      </c>
      <c r="E16" s="646">
        <v>30</v>
      </c>
      <c r="F16" s="647">
        <v>50.25</v>
      </c>
      <c r="G16" s="648">
        <v>0</v>
      </c>
      <c r="H16" s="647">
        <v>0</v>
      </c>
      <c r="I16" s="648">
        <v>3</v>
      </c>
      <c r="J16" s="647">
        <v>6</v>
      </c>
      <c r="K16" s="648">
        <v>3</v>
      </c>
      <c r="L16" s="647">
        <v>6</v>
      </c>
      <c r="M16" s="648">
        <v>0</v>
      </c>
      <c r="N16" s="647">
        <v>0</v>
      </c>
      <c r="O16" s="646">
        <v>27</v>
      </c>
      <c r="P16" s="647">
        <v>44.25</v>
      </c>
      <c r="Q16" s="646">
        <v>3</v>
      </c>
      <c r="R16" s="647">
        <v>6</v>
      </c>
      <c r="S16" s="646">
        <v>0</v>
      </c>
      <c r="T16" s="649">
        <v>0</v>
      </c>
    </row>
    <row r="17" spans="1:20" ht="15.75" thickBot="1" x14ac:dyDescent="0.3">
      <c r="A17" s="644">
        <v>12</v>
      </c>
      <c r="B17" s="645" t="s">
        <v>1272</v>
      </c>
      <c r="C17" s="646">
        <v>68</v>
      </c>
      <c r="D17" s="647">
        <v>77</v>
      </c>
      <c r="E17" s="646">
        <v>17</v>
      </c>
      <c r="F17" s="647">
        <v>18</v>
      </c>
      <c r="G17" s="648">
        <v>9</v>
      </c>
      <c r="H17" s="647">
        <v>6.5</v>
      </c>
      <c r="I17" s="648">
        <v>15</v>
      </c>
      <c r="J17" s="647">
        <v>16.25</v>
      </c>
      <c r="K17" s="648">
        <v>24</v>
      </c>
      <c r="L17" s="647">
        <v>22.75</v>
      </c>
      <c r="M17" s="648">
        <v>0</v>
      </c>
      <c r="N17" s="647">
        <v>0</v>
      </c>
      <c r="O17" s="646">
        <v>2</v>
      </c>
      <c r="P17" s="647">
        <v>1.75</v>
      </c>
      <c r="Q17" s="646">
        <v>13</v>
      </c>
      <c r="R17" s="647">
        <v>14.25</v>
      </c>
      <c r="S17" s="646">
        <v>11</v>
      </c>
      <c r="T17" s="649">
        <v>8.5</v>
      </c>
    </row>
    <row r="18" spans="1:20" ht="15" x14ac:dyDescent="0.25">
      <c r="A18" s="638">
        <v>13</v>
      </c>
      <c r="B18" s="645" t="s">
        <v>1273</v>
      </c>
      <c r="C18" s="646">
        <v>124</v>
      </c>
      <c r="D18" s="647">
        <v>90.5</v>
      </c>
      <c r="E18" s="646">
        <v>64</v>
      </c>
      <c r="F18" s="647">
        <v>47.5</v>
      </c>
      <c r="G18" s="648">
        <v>0</v>
      </c>
      <c r="H18" s="647">
        <v>0</v>
      </c>
      <c r="I18" s="648">
        <v>9</v>
      </c>
      <c r="J18" s="647">
        <v>6.5</v>
      </c>
      <c r="K18" s="648">
        <v>9</v>
      </c>
      <c r="L18" s="647">
        <v>6.5</v>
      </c>
      <c r="M18" s="648">
        <v>0</v>
      </c>
      <c r="N18" s="647">
        <v>0</v>
      </c>
      <c r="O18" s="646">
        <v>55</v>
      </c>
      <c r="P18" s="647">
        <v>41</v>
      </c>
      <c r="Q18" s="646">
        <v>3</v>
      </c>
      <c r="R18" s="647">
        <v>1.5</v>
      </c>
      <c r="S18" s="646">
        <v>6</v>
      </c>
      <c r="T18" s="649">
        <v>5</v>
      </c>
    </row>
    <row r="19" spans="1:20" ht="15.75" thickBot="1" x14ac:dyDescent="0.3">
      <c r="A19" s="644">
        <v>14</v>
      </c>
      <c r="B19" s="645" t="s">
        <v>1274</v>
      </c>
      <c r="C19" s="646">
        <v>53</v>
      </c>
      <c r="D19" s="647">
        <v>59.5</v>
      </c>
      <c r="E19" s="646">
        <v>10</v>
      </c>
      <c r="F19" s="647">
        <v>10</v>
      </c>
      <c r="G19" s="648">
        <v>0</v>
      </c>
      <c r="H19" s="647">
        <v>0</v>
      </c>
      <c r="I19" s="648">
        <v>0</v>
      </c>
      <c r="J19" s="647">
        <v>0</v>
      </c>
      <c r="K19" s="648">
        <v>0</v>
      </c>
      <c r="L19" s="647">
        <v>0</v>
      </c>
      <c r="M19" s="648">
        <v>0</v>
      </c>
      <c r="N19" s="647">
        <v>0</v>
      </c>
      <c r="O19" s="646">
        <v>10</v>
      </c>
      <c r="P19" s="647">
        <v>10</v>
      </c>
      <c r="Q19" s="646">
        <v>0</v>
      </c>
      <c r="R19" s="647">
        <v>0</v>
      </c>
      <c r="S19" s="646">
        <v>0</v>
      </c>
      <c r="T19" s="649">
        <v>0</v>
      </c>
    </row>
    <row r="20" spans="1:20" ht="15" x14ac:dyDescent="0.25">
      <c r="A20" s="638">
        <v>15</v>
      </c>
      <c r="B20" s="645" t="s">
        <v>1275</v>
      </c>
      <c r="C20" s="646">
        <v>508</v>
      </c>
      <c r="D20" s="647">
        <v>944.4</v>
      </c>
      <c r="E20" s="646">
        <v>1129</v>
      </c>
      <c r="F20" s="647">
        <v>1450.3799999999999</v>
      </c>
      <c r="G20" s="648">
        <v>86</v>
      </c>
      <c r="H20" s="647">
        <v>87.759999999999977</v>
      </c>
      <c r="I20" s="648">
        <v>984</v>
      </c>
      <c r="J20" s="647">
        <v>1214.2600000000002</v>
      </c>
      <c r="K20" s="648">
        <v>1070</v>
      </c>
      <c r="L20" s="647">
        <v>1305.78</v>
      </c>
      <c r="M20" s="648">
        <v>0</v>
      </c>
      <c r="N20" s="647">
        <v>0</v>
      </c>
      <c r="O20" s="646">
        <v>145</v>
      </c>
      <c r="P20" s="647">
        <v>236.11999999999995</v>
      </c>
      <c r="Q20" s="646">
        <v>848</v>
      </c>
      <c r="R20" s="647">
        <v>1034.1800000000003</v>
      </c>
      <c r="S20" s="646">
        <v>222</v>
      </c>
      <c r="T20" s="649">
        <v>271.59999999999991</v>
      </c>
    </row>
    <row r="21" spans="1:20" ht="15.75" thickBot="1" x14ac:dyDescent="0.3">
      <c r="A21" s="644">
        <v>16</v>
      </c>
      <c r="B21" s="645" t="s">
        <v>1276</v>
      </c>
      <c r="C21" s="646">
        <v>113</v>
      </c>
      <c r="D21" s="647">
        <v>102</v>
      </c>
      <c r="E21" s="646">
        <v>6</v>
      </c>
      <c r="F21" s="647">
        <v>5.5</v>
      </c>
      <c r="G21" s="648">
        <v>0</v>
      </c>
      <c r="H21" s="647">
        <v>0</v>
      </c>
      <c r="I21" s="648">
        <v>6</v>
      </c>
      <c r="J21" s="647">
        <v>5.5</v>
      </c>
      <c r="K21" s="648">
        <v>6</v>
      </c>
      <c r="L21" s="647">
        <v>5.5</v>
      </c>
      <c r="M21" s="648">
        <v>0</v>
      </c>
      <c r="N21" s="647">
        <v>0</v>
      </c>
      <c r="O21" s="646">
        <v>0</v>
      </c>
      <c r="P21" s="647">
        <v>0</v>
      </c>
      <c r="Q21" s="646">
        <v>5</v>
      </c>
      <c r="R21" s="647">
        <v>4</v>
      </c>
      <c r="S21" s="646">
        <v>1</v>
      </c>
      <c r="T21" s="649">
        <v>1.5</v>
      </c>
    </row>
    <row r="22" spans="1:20" ht="15" x14ac:dyDescent="0.25">
      <c r="A22" s="638">
        <v>17</v>
      </c>
      <c r="B22" s="645" t="s">
        <v>1277</v>
      </c>
      <c r="C22" s="646">
        <v>4</v>
      </c>
      <c r="D22" s="647">
        <v>6</v>
      </c>
      <c r="E22" s="646">
        <v>0</v>
      </c>
      <c r="F22" s="647">
        <v>0</v>
      </c>
      <c r="G22" s="648">
        <v>0</v>
      </c>
      <c r="H22" s="647">
        <v>0</v>
      </c>
      <c r="I22" s="648">
        <v>0</v>
      </c>
      <c r="J22" s="647">
        <v>0</v>
      </c>
      <c r="K22" s="648">
        <v>0</v>
      </c>
      <c r="L22" s="647">
        <v>0</v>
      </c>
      <c r="M22" s="648">
        <v>0</v>
      </c>
      <c r="N22" s="647">
        <v>0</v>
      </c>
      <c r="O22" s="646">
        <v>0</v>
      </c>
      <c r="P22" s="647">
        <v>0</v>
      </c>
      <c r="Q22" s="646">
        <v>0</v>
      </c>
      <c r="R22" s="647">
        <v>0</v>
      </c>
      <c r="S22" s="646">
        <v>0</v>
      </c>
      <c r="T22" s="649">
        <v>0</v>
      </c>
    </row>
    <row r="23" spans="1:20" ht="15.75" thickBot="1" x14ac:dyDescent="0.3">
      <c r="A23" s="644">
        <v>18</v>
      </c>
      <c r="B23" s="645" t="s">
        <v>1278</v>
      </c>
      <c r="C23" s="646">
        <v>0</v>
      </c>
      <c r="D23" s="647">
        <v>0</v>
      </c>
      <c r="E23" s="646">
        <v>0</v>
      </c>
      <c r="F23" s="647">
        <v>0</v>
      </c>
      <c r="G23" s="648">
        <v>0</v>
      </c>
      <c r="H23" s="647">
        <v>0</v>
      </c>
      <c r="I23" s="648">
        <v>0</v>
      </c>
      <c r="J23" s="647">
        <v>0</v>
      </c>
      <c r="K23" s="648">
        <v>0</v>
      </c>
      <c r="L23" s="647">
        <v>0</v>
      </c>
      <c r="M23" s="648">
        <v>0</v>
      </c>
      <c r="N23" s="647">
        <v>0</v>
      </c>
      <c r="O23" s="646">
        <v>0</v>
      </c>
      <c r="P23" s="647">
        <v>0</v>
      </c>
      <c r="Q23" s="646">
        <v>0</v>
      </c>
      <c r="R23" s="647">
        <v>0</v>
      </c>
      <c r="S23" s="646">
        <v>0</v>
      </c>
      <c r="T23" s="649">
        <v>0</v>
      </c>
    </row>
    <row r="24" spans="1:20" ht="15" x14ac:dyDescent="0.25">
      <c r="A24" s="638">
        <v>19</v>
      </c>
      <c r="B24" s="645" t="s">
        <v>1279</v>
      </c>
      <c r="C24" s="646">
        <v>4589</v>
      </c>
      <c r="D24" s="647">
        <v>6182.5</v>
      </c>
      <c r="E24" s="646">
        <v>5221</v>
      </c>
      <c r="F24" s="647">
        <v>7742.670000000001</v>
      </c>
      <c r="G24" s="648">
        <v>617</v>
      </c>
      <c r="H24" s="647">
        <v>761.65000000000009</v>
      </c>
      <c r="I24" s="648">
        <v>3426</v>
      </c>
      <c r="J24" s="647">
        <v>4927.43</v>
      </c>
      <c r="K24" s="648">
        <v>4043</v>
      </c>
      <c r="L24" s="647">
        <v>5689.08</v>
      </c>
      <c r="M24" s="648">
        <v>40</v>
      </c>
      <c r="N24" s="647">
        <v>40</v>
      </c>
      <c r="O24" s="646">
        <v>1755</v>
      </c>
      <c r="P24" s="647">
        <v>2775.2400000000002</v>
      </c>
      <c r="Q24" s="646">
        <v>3233</v>
      </c>
      <c r="R24" s="647">
        <v>4519.18</v>
      </c>
      <c r="S24" s="646">
        <v>810</v>
      </c>
      <c r="T24" s="649">
        <v>1169.9000000000001</v>
      </c>
    </row>
    <row r="25" spans="1:20" ht="15.75" thickBot="1" x14ac:dyDescent="0.3">
      <c r="A25" s="644">
        <v>20</v>
      </c>
      <c r="B25" s="645" t="s">
        <v>1280</v>
      </c>
      <c r="C25" s="646">
        <v>9083</v>
      </c>
      <c r="D25" s="647">
        <v>8599.5</v>
      </c>
      <c r="E25" s="646">
        <v>7103</v>
      </c>
      <c r="F25" s="647">
        <v>10604.051000000001</v>
      </c>
      <c r="G25" s="648">
        <v>372</v>
      </c>
      <c r="H25" s="647">
        <v>353.4</v>
      </c>
      <c r="I25" s="648">
        <v>5094</v>
      </c>
      <c r="J25" s="647">
        <v>6489.83</v>
      </c>
      <c r="K25" s="648">
        <v>5466</v>
      </c>
      <c r="L25" s="647">
        <v>6843.23</v>
      </c>
      <c r="M25" s="648">
        <v>6</v>
      </c>
      <c r="N25" s="647">
        <v>6</v>
      </c>
      <c r="O25" s="646">
        <v>2003</v>
      </c>
      <c r="P25" s="647">
        <v>4108.2210000000014</v>
      </c>
      <c r="Q25" s="646">
        <v>4205</v>
      </c>
      <c r="R25" s="647">
        <v>4853.5600000000013</v>
      </c>
      <c r="S25" s="646">
        <v>1261</v>
      </c>
      <c r="T25" s="649">
        <v>1989.67</v>
      </c>
    </row>
    <row r="26" spans="1:20" ht="15" x14ac:dyDescent="0.25">
      <c r="A26" s="638">
        <v>21</v>
      </c>
      <c r="B26" s="645" t="s">
        <v>1281</v>
      </c>
      <c r="C26" s="646">
        <v>26</v>
      </c>
      <c r="D26" s="647">
        <v>22</v>
      </c>
      <c r="E26" s="646">
        <v>22</v>
      </c>
      <c r="F26" s="647">
        <v>22</v>
      </c>
      <c r="G26" s="648">
        <v>0</v>
      </c>
      <c r="H26" s="647">
        <v>0</v>
      </c>
      <c r="I26" s="648">
        <v>4</v>
      </c>
      <c r="J26" s="647">
        <v>4</v>
      </c>
      <c r="K26" s="648">
        <v>4</v>
      </c>
      <c r="L26" s="647">
        <v>4</v>
      </c>
      <c r="M26" s="648">
        <v>0</v>
      </c>
      <c r="N26" s="647">
        <v>0</v>
      </c>
      <c r="O26" s="646">
        <v>18</v>
      </c>
      <c r="P26" s="647">
        <v>18</v>
      </c>
      <c r="Q26" s="646">
        <v>0</v>
      </c>
      <c r="R26" s="647">
        <v>0</v>
      </c>
      <c r="S26" s="646">
        <v>4</v>
      </c>
      <c r="T26" s="649">
        <v>4</v>
      </c>
    </row>
    <row r="27" spans="1:20" ht="15.75" thickBot="1" x14ac:dyDescent="0.3">
      <c r="A27" s="644">
        <v>22</v>
      </c>
      <c r="B27" s="645" t="s">
        <v>1282</v>
      </c>
      <c r="C27" s="646">
        <v>11</v>
      </c>
      <c r="D27" s="647">
        <v>13</v>
      </c>
      <c r="E27" s="646">
        <v>0</v>
      </c>
      <c r="F27" s="647">
        <v>0</v>
      </c>
      <c r="G27" s="648">
        <v>0</v>
      </c>
      <c r="H27" s="647">
        <v>0</v>
      </c>
      <c r="I27" s="648">
        <v>0</v>
      </c>
      <c r="J27" s="647">
        <v>0</v>
      </c>
      <c r="K27" s="648">
        <v>0</v>
      </c>
      <c r="L27" s="647">
        <v>0</v>
      </c>
      <c r="M27" s="648">
        <v>0</v>
      </c>
      <c r="N27" s="647">
        <v>0</v>
      </c>
      <c r="O27" s="646">
        <v>0</v>
      </c>
      <c r="P27" s="647">
        <v>0</v>
      </c>
      <c r="Q27" s="646">
        <v>0</v>
      </c>
      <c r="R27" s="647">
        <v>0</v>
      </c>
      <c r="S27" s="646">
        <v>0</v>
      </c>
      <c r="T27" s="649">
        <v>0</v>
      </c>
    </row>
    <row r="28" spans="1:20" ht="15" x14ac:dyDescent="0.25">
      <c r="A28" s="638">
        <v>23</v>
      </c>
      <c r="B28" s="645" t="s">
        <v>1283</v>
      </c>
      <c r="C28" s="646">
        <v>1134.9000000000001</v>
      </c>
      <c r="D28" s="647">
        <v>1249.5374999999999</v>
      </c>
      <c r="E28" s="646">
        <v>1410</v>
      </c>
      <c r="F28" s="647">
        <v>1960.1984</v>
      </c>
      <c r="G28" s="648">
        <v>57</v>
      </c>
      <c r="H28" s="647">
        <v>63.3</v>
      </c>
      <c r="I28" s="648">
        <v>868</v>
      </c>
      <c r="J28" s="647">
        <v>1208.8584000000001</v>
      </c>
      <c r="K28" s="648">
        <v>925</v>
      </c>
      <c r="L28" s="647">
        <v>1272.1584</v>
      </c>
      <c r="M28" s="648">
        <v>17</v>
      </c>
      <c r="N28" s="647">
        <v>70</v>
      </c>
      <c r="O28" s="646">
        <v>525</v>
      </c>
      <c r="P28" s="647">
        <v>681.34</v>
      </c>
      <c r="Q28" s="646">
        <v>674</v>
      </c>
      <c r="R28" s="647">
        <v>949.33999999999992</v>
      </c>
      <c r="S28" s="646">
        <v>251</v>
      </c>
      <c r="T28" s="649">
        <v>322.8184</v>
      </c>
    </row>
    <row r="29" spans="1:20" ht="15.75" thickBot="1" x14ac:dyDescent="0.3">
      <c r="A29" s="644">
        <v>24</v>
      </c>
      <c r="B29" s="645" t="s">
        <v>1284</v>
      </c>
      <c r="C29" s="646">
        <v>0</v>
      </c>
      <c r="D29" s="647">
        <v>160</v>
      </c>
      <c r="E29" s="646">
        <v>45</v>
      </c>
      <c r="F29" s="647">
        <v>52.5</v>
      </c>
      <c r="G29" s="648">
        <v>18</v>
      </c>
      <c r="H29" s="647">
        <v>20.319999999999997</v>
      </c>
      <c r="I29" s="648">
        <v>45</v>
      </c>
      <c r="J29" s="647">
        <v>52.5</v>
      </c>
      <c r="K29" s="648">
        <v>63</v>
      </c>
      <c r="L29" s="647">
        <v>72.819999999999993</v>
      </c>
      <c r="M29" s="648">
        <v>0</v>
      </c>
      <c r="N29" s="647">
        <v>0</v>
      </c>
      <c r="O29" s="646">
        <v>0</v>
      </c>
      <c r="P29" s="647">
        <v>0</v>
      </c>
      <c r="Q29" s="646">
        <v>43</v>
      </c>
      <c r="R29" s="647">
        <v>49.5</v>
      </c>
      <c r="S29" s="646">
        <v>20</v>
      </c>
      <c r="T29" s="649">
        <v>23.319999999999993</v>
      </c>
    </row>
    <row r="30" spans="1:20" ht="15" x14ac:dyDescent="0.25">
      <c r="A30" s="638">
        <v>25</v>
      </c>
      <c r="B30" s="645" t="s">
        <v>1285</v>
      </c>
      <c r="C30" s="646">
        <v>0</v>
      </c>
      <c r="D30" s="647">
        <v>30</v>
      </c>
      <c r="E30" s="646">
        <v>0</v>
      </c>
      <c r="F30" s="647">
        <v>0</v>
      </c>
      <c r="G30" s="648">
        <v>0</v>
      </c>
      <c r="H30" s="647">
        <v>0</v>
      </c>
      <c r="I30" s="648">
        <v>0</v>
      </c>
      <c r="J30" s="647">
        <v>0</v>
      </c>
      <c r="K30" s="648">
        <v>0</v>
      </c>
      <c r="L30" s="647">
        <v>0</v>
      </c>
      <c r="M30" s="648">
        <v>0</v>
      </c>
      <c r="N30" s="647">
        <v>0</v>
      </c>
      <c r="O30" s="646">
        <v>0</v>
      </c>
      <c r="P30" s="647">
        <v>0</v>
      </c>
      <c r="Q30" s="646">
        <v>0</v>
      </c>
      <c r="R30" s="647">
        <v>0</v>
      </c>
      <c r="S30" s="646">
        <v>0</v>
      </c>
      <c r="T30" s="649">
        <v>0</v>
      </c>
    </row>
    <row r="31" spans="1:20" ht="15.75" thickBot="1" x14ac:dyDescent="0.3">
      <c r="A31" s="644">
        <v>26</v>
      </c>
      <c r="B31" s="645" t="s">
        <v>1286</v>
      </c>
      <c r="C31" s="646">
        <v>4253.1000000000004</v>
      </c>
      <c r="D31" s="647">
        <v>4623.1374999999998</v>
      </c>
      <c r="E31" s="646">
        <v>2089</v>
      </c>
      <c r="F31" s="647">
        <v>2605.6652199999999</v>
      </c>
      <c r="G31" s="648">
        <v>603</v>
      </c>
      <c r="H31" s="647">
        <v>596.17000000000007</v>
      </c>
      <c r="I31" s="648">
        <v>757</v>
      </c>
      <c r="J31" s="647">
        <v>732.54300000000001</v>
      </c>
      <c r="K31" s="648">
        <v>1360</v>
      </c>
      <c r="L31" s="647">
        <v>1328.7129999999997</v>
      </c>
      <c r="M31" s="648">
        <v>11</v>
      </c>
      <c r="N31" s="647">
        <v>13</v>
      </c>
      <c r="O31" s="646">
        <v>1321</v>
      </c>
      <c r="P31" s="647">
        <v>1860.1222200000002</v>
      </c>
      <c r="Q31" s="646">
        <v>661</v>
      </c>
      <c r="R31" s="647">
        <v>614.79999999999995</v>
      </c>
      <c r="S31" s="646">
        <v>699</v>
      </c>
      <c r="T31" s="649">
        <v>713.91300000000001</v>
      </c>
    </row>
    <row r="32" spans="1:20" ht="15" x14ac:dyDescent="0.25">
      <c r="A32" s="638">
        <v>27</v>
      </c>
      <c r="B32" s="645" t="s">
        <v>1287</v>
      </c>
      <c r="C32" s="646">
        <v>100</v>
      </c>
      <c r="D32" s="647">
        <v>107</v>
      </c>
      <c r="E32" s="646">
        <v>51</v>
      </c>
      <c r="F32" s="647">
        <v>31</v>
      </c>
      <c r="G32" s="648">
        <v>4</v>
      </c>
      <c r="H32" s="647">
        <v>4</v>
      </c>
      <c r="I32" s="648">
        <v>26</v>
      </c>
      <c r="J32" s="647">
        <v>16</v>
      </c>
      <c r="K32" s="648">
        <v>30</v>
      </c>
      <c r="L32" s="647">
        <v>20</v>
      </c>
      <c r="M32" s="648">
        <v>0</v>
      </c>
      <c r="N32" s="647">
        <v>0</v>
      </c>
      <c r="O32" s="646">
        <v>25</v>
      </c>
      <c r="P32" s="647">
        <v>15</v>
      </c>
      <c r="Q32" s="646">
        <v>22</v>
      </c>
      <c r="R32" s="647">
        <v>12</v>
      </c>
      <c r="S32" s="646">
        <v>8</v>
      </c>
      <c r="T32" s="649">
        <v>8</v>
      </c>
    </row>
    <row r="33" spans="1:20" ht="15.75" thickBot="1" x14ac:dyDescent="0.3">
      <c r="A33" s="644">
        <v>28</v>
      </c>
      <c r="B33" s="645" t="s">
        <v>1288</v>
      </c>
      <c r="C33" s="646">
        <v>1808.4</v>
      </c>
      <c r="D33" s="647">
        <v>2155.9899999999998</v>
      </c>
      <c r="E33" s="646">
        <v>1270</v>
      </c>
      <c r="F33" s="647">
        <v>2030.3500000000001</v>
      </c>
      <c r="G33" s="648">
        <v>85</v>
      </c>
      <c r="H33" s="647">
        <v>121.8</v>
      </c>
      <c r="I33" s="648">
        <v>942</v>
      </c>
      <c r="J33" s="647">
        <v>1520.4</v>
      </c>
      <c r="K33" s="648">
        <v>1027</v>
      </c>
      <c r="L33" s="647">
        <v>1642.2</v>
      </c>
      <c r="M33" s="648">
        <v>42</v>
      </c>
      <c r="N33" s="647">
        <v>75</v>
      </c>
      <c r="O33" s="646">
        <v>286</v>
      </c>
      <c r="P33" s="647">
        <v>434.95</v>
      </c>
      <c r="Q33" s="646">
        <v>866</v>
      </c>
      <c r="R33" s="647">
        <v>1381.8100000000002</v>
      </c>
      <c r="S33" s="646">
        <v>161</v>
      </c>
      <c r="T33" s="649">
        <v>260.39</v>
      </c>
    </row>
    <row r="34" spans="1:20" ht="15" x14ac:dyDescent="0.25">
      <c r="A34" s="638">
        <v>29</v>
      </c>
      <c r="B34" s="645" t="s">
        <v>1289</v>
      </c>
      <c r="C34" s="646">
        <v>198.5</v>
      </c>
      <c r="D34" s="647">
        <v>215.02499999999998</v>
      </c>
      <c r="E34" s="646">
        <v>238</v>
      </c>
      <c r="F34" s="647">
        <v>294.07</v>
      </c>
      <c r="G34" s="648">
        <v>1</v>
      </c>
      <c r="H34" s="647">
        <v>1</v>
      </c>
      <c r="I34" s="648">
        <v>54</v>
      </c>
      <c r="J34" s="647">
        <v>49.91</v>
      </c>
      <c r="K34" s="648">
        <v>55</v>
      </c>
      <c r="L34" s="647">
        <v>50.91</v>
      </c>
      <c r="M34" s="648">
        <v>0</v>
      </c>
      <c r="N34" s="647">
        <v>0</v>
      </c>
      <c r="O34" s="646">
        <v>184</v>
      </c>
      <c r="P34" s="647">
        <v>244.16</v>
      </c>
      <c r="Q34" s="646">
        <v>31</v>
      </c>
      <c r="R34" s="647">
        <v>23.45</v>
      </c>
      <c r="S34" s="646">
        <v>24</v>
      </c>
      <c r="T34" s="649">
        <v>27.459999999999997</v>
      </c>
    </row>
    <row r="35" spans="1:20" ht="15.75" thickBot="1" x14ac:dyDescent="0.3">
      <c r="A35" s="644">
        <v>30</v>
      </c>
      <c r="B35" s="645" t="s">
        <v>1290</v>
      </c>
      <c r="C35" s="646">
        <v>0</v>
      </c>
      <c r="D35" s="647">
        <v>0</v>
      </c>
      <c r="E35" s="646">
        <v>0</v>
      </c>
      <c r="F35" s="647">
        <v>0</v>
      </c>
      <c r="G35" s="648">
        <v>0</v>
      </c>
      <c r="H35" s="647">
        <v>0</v>
      </c>
      <c r="I35" s="648">
        <v>0</v>
      </c>
      <c r="J35" s="647">
        <v>0</v>
      </c>
      <c r="K35" s="648">
        <v>0</v>
      </c>
      <c r="L35" s="647">
        <v>0</v>
      </c>
      <c r="M35" s="648">
        <v>0</v>
      </c>
      <c r="N35" s="647">
        <v>0</v>
      </c>
      <c r="O35" s="646">
        <v>0</v>
      </c>
      <c r="P35" s="647">
        <v>0</v>
      </c>
      <c r="Q35" s="646">
        <v>0</v>
      </c>
      <c r="R35" s="647">
        <v>0</v>
      </c>
      <c r="S35" s="646">
        <v>0</v>
      </c>
      <c r="T35" s="649">
        <v>0</v>
      </c>
    </row>
    <row r="36" spans="1:20" ht="15" x14ac:dyDescent="0.25">
      <c r="A36" s="638">
        <v>31</v>
      </c>
      <c r="B36" s="645" t="s">
        <v>1291</v>
      </c>
      <c r="C36" s="646">
        <v>25</v>
      </c>
      <c r="D36" s="647">
        <v>36</v>
      </c>
      <c r="E36" s="648">
        <v>21</v>
      </c>
      <c r="F36" s="647">
        <v>23.5</v>
      </c>
      <c r="G36" s="648">
        <v>0</v>
      </c>
      <c r="H36" s="647">
        <v>0</v>
      </c>
      <c r="I36" s="648">
        <v>16</v>
      </c>
      <c r="J36" s="647">
        <v>16.8</v>
      </c>
      <c r="K36" s="648">
        <v>16</v>
      </c>
      <c r="L36" s="647">
        <v>16.8</v>
      </c>
      <c r="M36" s="648">
        <v>0</v>
      </c>
      <c r="N36" s="647">
        <v>0</v>
      </c>
      <c r="O36" s="648">
        <v>5</v>
      </c>
      <c r="P36" s="647">
        <v>6.7</v>
      </c>
      <c r="Q36" s="646">
        <v>16</v>
      </c>
      <c r="R36" s="647">
        <v>16.8</v>
      </c>
      <c r="S36" s="646">
        <v>0</v>
      </c>
      <c r="T36" s="649">
        <v>0</v>
      </c>
    </row>
    <row r="37" spans="1:20" ht="15" x14ac:dyDescent="0.25">
      <c r="A37" s="644">
        <v>32</v>
      </c>
      <c r="B37" s="645" t="s">
        <v>1292</v>
      </c>
      <c r="C37" s="646">
        <v>2</v>
      </c>
      <c r="D37" s="647">
        <v>2</v>
      </c>
      <c r="E37" s="648">
        <v>0</v>
      </c>
      <c r="F37" s="647">
        <v>0</v>
      </c>
      <c r="G37" s="648">
        <v>0</v>
      </c>
      <c r="H37" s="647">
        <v>0</v>
      </c>
      <c r="I37" s="648">
        <v>0</v>
      </c>
      <c r="J37" s="647">
        <v>0</v>
      </c>
      <c r="K37" s="648">
        <v>0</v>
      </c>
      <c r="L37" s="647">
        <v>0</v>
      </c>
      <c r="M37" s="648">
        <v>0</v>
      </c>
      <c r="N37" s="647">
        <v>0</v>
      </c>
      <c r="O37" s="648">
        <v>0</v>
      </c>
      <c r="P37" s="647">
        <v>0</v>
      </c>
      <c r="Q37" s="646">
        <v>0</v>
      </c>
      <c r="R37" s="647">
        <v>0</v>
      </c>
      <c r="S37" s="646">
        <v>0</v>
      </c>
      <c r="T37" s="649">
        <v>0</v>
      </c>
    </row>
    <row r="38" spans="1:20" ht="15.75" thickBot="1" x14ac:dyDescent="0.3">
      <c r="A38" s="650" t="s">
        <v>1</v>
      </c>
      <c r="B38" s="651"/>
      <c r="C38" s="652">
        <f t="shared" ref="C38:T38" si="0">SUM(C6:C37)</f>
        <v>33814.300000000003</v>
      </c>
      <c r="D38" s="653">
        <f t="shared" si="0"/>
        <v>35491.56</v>
      </c>
      <c r="E38" s="654">
        <f t="shared" si="0"/>
        <v>28774</v>
      </c>
      <c r="F38" s="653">
        <f t="shared" si="0"/>
        <v>38525.722660000007</v>
      </c>
      <c r="G38" s="654">
        <f t="shared" si="0"/>
        <v>2398</v>
      </c>
      <c r="H38" s="653">
        <f t="shared" si="0"/>
        <v>2638.2200000000003</v>
      </c>
      <c r="I38" s="654">
        <f t="shared" si="0"/>
        <v>18401</v>
      </c>
      <c r="J38" s="653">
        <f t="shared" si="0"/>
        <v>22361.082840000003</v>
      </c>
      <c r="K38" s="654">
        <f t="shared" si="0"/>
        <v>20797</v>
      </c>
      <c r="L38" s="653">
        <f t="shared" si="0"/>
        <v>25006.112839999998</v>
      </c>
      <c r="M38" s="654">
        <f t="shared" si="0"/>
        <v>170</v>
      </c>
      <c r="N38" s="653">
        <f t="shared" si="0"/>
        <v>254.5</v>
      </c>
      <c r="O38" s="652">
        <f t="shared" si="0"/>
        <v>10203</v>
      </c>
      <c r="P38" s="653">
        <f t="shared" si="0"/>
        <v>15910.139820000004</v>
      </c>
      <c r="Q38" s="652">
        <f t="shared" si="0"/>
        <v>15872</v>
      </c>
      <c r="R38" s="653">
        <f t="shared" si="0"/>
        <v>18417.157600000002</v>
      </c>
      <c r="S38" s="652">
        <f t="shared" si="0"/>
        <v>4925</v>
      </c>
      <c r="T38" s="655">
        <f t="shared" si="0"/>
        <v>6588.9552400000011</v>
      </c>
    </row>
    <row r="39" spans="1:20" x14ac:dyDescent="0.2">
      <c r="E39" s="426" t="s">
        <v>1294</v>
      </c>
    </row>
    <row r="49" spans="1:1" x14ac:dyDescent="0.2">
      <c r="A49" s="623"/>
    </row>
    <row r="50" spans="1:1" x14ac:dyDescent="0.2">
      <c r="A50" s="623"/>
    </row>
    <row r="51" spans="1:1" x14ac:dyDescent="0.2">
      <c r="A51" s="623"/>
    </row>
    <row r="52" spans="1:1" x14ac:dyDescent="0.2">
      <c r="A52" s="623"/>
    </row>
    <row r="53" spans="1:1" x14ac:dyDescent="0.2">
      <c r="A53" s="623"/>
    </row>
    <row r="54" spans="1:1" x14ac:dyDescent="0.2">
      <c r="A54" s="623"/>
    </row>
    <row r="55" spans="1:1" x14ac:dyDescent="0.2">
      <c r="A55" s="623"/>
    </row>
    <row r="56" spans="1:1" x14ac:dyDescent="0.2">
      <c r="A56" s="623"/>
    </row>
  </sheetData>
  <mergeCells count="13">
    <mergeCell ref="P1:T1"/>
    <mergeCell ref="A2:T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1:O1"/>
    <mergeCell ref="A38:B38"/>
  </mergeCells>
  <pageMargins left="0.7" right="0.7" top="0.5" bottom="0.5" header="0.3" footer="0.3"/>
  <pageSetup paperSize="9" scale="76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view="pageBreakPreview" zoomScale="60" zoomScaleNormal="100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D57" sqref="D57"/>
    </sheetView>
  </sheetViews>
  <sheetFormatPr defaultRowHeight="12.75" x14ac:dyDescent="0.2"/>
  <cols>
    <col min="1" max="1" width="4.7109375" style="348" customWidth="1"/>
    <col min="2" max="2" width="15.5703125" style="348" customWidth="1"/>
    <col min="3" max="3" width="9.140625" style="348"/>
    <col min="4" max="4" width="9.28515625" style="348" customWidth="1"/>
    <col min="5" max="5" width="9.140625" style="348"/>
    <col min="6" max="6" width="10" style="348" customWidth="1"/>
    <col min="7" max="8" width="6.140625" style="348" customWidth="1"/>
    <col min="9" max="9" width="5.140625" style="348" customWidth="1"/>
    <col min="10" max="10" width="5.7109375" style="348" customWidth="1"/>
    <col min="11" max="11" width="5.85546875" style="348" customWidth="1"/>
    <col min="12" max="12" width="7" style="348" customWidth="1"/>
    <col min="13" max="14" width="8" style="348" customWidth="1"/>
    <col min="15" max="15" width="8.7109375" style="348" customWidth="1"/>
    <col min="16" max="16" width="5.85546875" style="348" customWidth="1"/>
    <col min="17" max="17" width="6.42578125" style="348" customWidth="1"/>
    <col min="18" max="18" width="6.5703125" style="348" customWidth="1"/>
    <col min="19" max="16384" width="9.140625" style="348"/>
  </cols>
  <sheetData>
    <row r="1" spans="1:18" ht="23.25" customHeight="1" x14ac:dyDescent="0.2">
      <c r="A1" s="617" t="s">
        <v>1197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</row>
    <row r="2" spans="1:18" ht="23.25" customHeight="1" x14ac:dyDescent="0.2">
      <c r="A2" s="438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617" t="s">
        <v>1198</v>
      </c>
      <c r="O2" s="617"/>
      <c r="P2" s="438"/>
      <c r="Q2" s="438"/>
      <c r="R2" s="438"/>
    </row>
    <row r="3" spans="1:18" ht="33" customHeight="1" x14ac:dyDescent="0.2">
      <c r="A3" s="428" t="s">
        <v>632</v>
      </c>
      <c r="B3" s="428" t="s">
        <v>633</v>
      </c>
      <c r="C3" s="615" t="s">
        <v>634</v>
      </c>
      <c r="D3" s="615"/>
      <c r="E3" s="616" t="s">
        <v>635</v>
      </c>
      <c r="F3" s="616"/>
      <c r="G3" s="616"/>
      <c r="H3" s="616"/>
      <c r="I3" s="616"/>
      <c r="J3" s="616"/>
      <c r="K3" s="616"/>
      <c r="L3" s="616"/>
      <c r="M3" s="616" t="s">
        <v>636</v>
      </c>
      <c r="N3" s="616"/>
      <c r="O3" s="616"/>
      <c r="P3" s="616"/>
      <c r="Q3" s="616"/>
      <c r="R3" s="616"/>
    </row>
    <row r="4" spans="1:18" ht="36" x14ac:dyDescent="0.2">
      <c r="A4" s="429"/>
      <c r="B4" s="429"/>
      <c r="C4" s="430" t="s">
        <v>637</v>
      </c>
      <c r="D4" s="430" t="s">
        <v>638</v>
      </c>
      <c r="E4" s="428" t="s">
        <v>639</v>
      </c>
      <c r="F4" s="430" t="s">
        <v>640</v>
      </c>
      <c r="G4" s="428" t="s">
        <v>641</v>
      </c>
      <c r="H4" s="428" t="s">
        <v>642</v>
      </c>
      <c r="I4" s="428" t="s">
        <v>643</v>
      </c>
      <c r="J4" s="428" t="s">
        <v>622</v>
      </c>
      <c r="K4" s="428" t="s">
        <v>644</v>
      </c>
      <c r="L4" s="428" t="s">
        <v>645</v>
      </c>
      <c r="M4" s="428" t="s">
        <v>637</v>
      </c>
      <c r="N4" s="430" t="s">
        <v>646</v>
      </c>
      <c r="O4" s="430" t="s">
        <v>647</v>
      </c>
      <c r="P4" s="428" t="s">
        <v>648</v>
      </c>
      <c r="Q4" s="428" t="s">
        <v>649</v>
      </c>
      <c r="R4" s="428" t="s">
        <v>650</v>
      </c>
    </row>
    <row r="5" spans="1:18" x14ac:dyDescent="0.2">
      <c r="A5" s="431">
        <v>1</v>
      </c>
      <c r="B5" s="432" t="s">
        <v>651</v>
      </c>
      <c r="C5" s="431">
        <v>25</v>
      </c>
      <c r="D5" s="431">
        <v>750</v>
      </c>
      <c r="E5" s="433" t="s">
        <v>652</v>
      </c>
      <c r="F5" s="433" t="s">
        <v>653</v>
      </c>
      <c r="G5" s="433" t="s">
        <v>654</v>
      </c>
      <c r="H5" s="433" t="s">
        <v>655</v>
      </c>
      <c r="I5" s="433" t="s">
        <v>656</v>
      </c>
      <c r="J5" s="433" t="s">
        <v>657</v>
      </c>
      <c r="K5" s="433" t="s">
        <v>658</v>
      </c>
      <c r="L5" s="433" t="s">
        <v>659</v>
      </c>
      <c r="M5" s="433" t="s">
        <v>660</v>
      </c>
      <c r="N5" s="433" t="s">
        <v>661</v>
      </c>
      <c r="O5" s="433" t="s">
        <v>662</v>
      </c>
      <c r="P5" s="433" t="s">
        <v>663</v>
      </c>
      <c r="Q5" s="433" t="s">
        <v>664</v>
      </c>
      <c r="R5" s="433" t="s">
        <v>665</v>
      </c>
    </row>
    <row r="6" spans="1:18" x14ac:dyDescent="0.2">
      <c r="A6" s="431">
        <v>2</v>
      </c>
      <c r="B6" s="432" t="s">
        <v>666</v>
      </c>
      <c r="C6" s="431">
        <v>21</v>
      </c>
      <c r="D6" s="431">
        <v>605</v>
      </c>
      <c r="E6" s="433" t="s">
        <v>667</v>
      </c>
      <c r="F6" s="433" t="s">
        <v>668</v>
      </c>
      <c r="G6" s="433" t="s">
        <v>669</v>
      </c>
      <c r="H6" s="433" t="s">
        <v>657</v>
      </c>
      <c r="I6" s="433" t="s">
        <v>670</v>
      </c>
      <c r="J6" s="433" t="s">
        <v>668</v>
      </c>
      <c r="K6" s="433" t="s">
        <v>670</v>
      </c>
      <c r="L6" s="433" t="s">
        <v>670</v>
      </c>
      <c r="M6" s="433" t="s">
        <v>671</v>
      </c>
      <c r="N6" s="433" t="s">
        <v>672</v>
      </c>
      <c r="O6" s="433" t="s">
        <v>673</v>
      </c>
      <c r="P6" s="433" t="s">
        <v>674</v>
      </c>
      <c r="Q6" s="433" t="s">
        <v>675</v>
      </c>
      <c r="R6" s="433" t="s">
        <v>676</v>
      </c>
    </row>
    <row r="7" spans="1:18" x14ac:dyDescent="0.2">
      <c r="A7" s="431">
        <v>3</v>
      </c>
      <c r="B7" s="432" t="s">
        <v>677</v>
      </c>
      <c r="C7" s="431">
        <v>25</v>
      </c>
      <c r="D7" s="431">
        <v>750</v>
      </c>
      <c r="E7" s="433" t="s">
        <v>678</v>
      </c>
      <c r="F7" s="433" t="s">
        <v>679</v>
      </c>
      <c r="G7" s="433" t="s">
        <v>680</v>
      </c>
      <c r="H7" s="433" t="s">
        <v>681</v>
      </c>
      <c r="I7" s="433" t="s">
        <v>682</v>
      </c>
      <c r="J7" s="433" t="s">
        <v>683</v>
      </c>
      <c r="K7" s="433" t="s">
        <v>684</v>
      </c>
      <c r="L7" s="433" t="s">
        <v>670</v>
      </c>
      <c r="M7" s="433" t="s">
        <v>685</v>
      </c>
      <c r="N7" s="433" t="s">
        <v>686</v>
      </c>
      <c r="O7" s="433" t="s">
        <v>687</v>
      </c>
      <c r="P7" s="433" t="s">
        <v>688</v>
      </c>
      <c r="Q7" s="433" t="s">
        <v>689</v>
      </c>
      <c r="R7" s="433" t="s">
        <v>690</v>
      </c>
    </row>
    <row r="8" spans="1:18" x14ac:dyDescent="0.2">
      <c r="A8" s="431">
        <v>4</v>
      </c>
      <c r="B8" s="432" t="s">
        <v>691</v>
      </c>
      <c r="C8" s="431">
        <v>25</v>
      </c>
      <c r="D8" s="431">
        <v>650</v>
      </c>
      <c r="E8" s="433" t="s">
        <v>676</v>
      </c>
      <c r="F8" s="433" t="s">
        <v>692</v>
      </c>
      <c r="G8" s="433" t="s">
        <v>693</v>
      </c>
      <c r="H8" s="433" t="s">
        <v>694</v>
      </c>
      <c r="I8" s="433" t="s">
        <v>695</v>
      </c>
      <c r="J8" s="433" t="s">
        <v>696</v>
      </c>
      <c r="K8" s="433" t="s">
        <v>697</v>
      </c>
      <c r="L8" s="433" t="s">
        <v>698</v>
      </c>
      <c r="M8" s="433" t="s">
        <v>699</v>
      </c>
      <c r="N8" s="433" t="s">
        <v>700</v>
      </c>
      <c r="O8" s="433" t="s">
        <v>701</v>
      </c>
      <c r="P8" s="433" t="s">
        <v>702</v>
      </c>
      <c r="Q8" s="433" t="s">
        <v>703</v>
      </c>
      <c r="R8" s="433" t="s">
        <v>704</v>
      </c>
    </row>
    <row r="9" spans="1:18" x14ac:dyDescent="0.2">
      <c r="A9" s="431">
        <v>5</v>
      </c>
      <c r="B9" s="432" t="s">
        <v>705</v>
      </c>
      <c r="C9" s="431">
        <v>24</v>
      </c>
      <c r="D9" s="431">
        <v>700</v>
      </c>
      <c r="E9" s="433" t="s">
        <v>706</v>
      </c>
      <c r="F9" s="433" t="s">
        <v>707</v>
      </c>
      <c r="G9" s="433" t="s">
        <v>708</v>
      </c>
      <c r="H9" s="433" t="s">
        <v>709</v>
      </c>
      <c r="I9" s="433" t="s">
        <v>710</v>
      </c>
      <c r="J9" s="433" t="s">
        <v>670</v>
      </c>
      <c r="K9" s="433" t="s">
        <v>708</v>
      </c>
      <c r="L9" s="433" t="s">
        <v>690</v>
      </c>
      <c r="M9" s="433" t="s">
        <v>711</v>
      </c>
      <c r="N9" s="433" t="s">
        <v>712</v>
      </c>
      <c r="O9" s="433" t="s">
        <v>713</v>
      </c>
      <c r="P9" s="433" t="s">
        <v>714</v>
      </c>
      <c r="Q9" s="433" t="s">
        <v>715</v>
      </c>
      <c r="R9" s="433" t="s">
        <v>716</v>
      </c>
    </row>
    <row r="10" spans="1:18" x14ac:dyDescent="0.2">
      <c r="A10" s="431">
        <v>6</v>
      </c>
      <c r="B10" s="432" t="s">
        <v>717</v>
      </c>
      <c r="C10" s="431">
        <v>26</v>
      </c>
      <c r="D10" s="431">
        <v>780</v>
      </c>
      <c r="E10" s="433" t="s">
        <v>718</v>
      </c>
      <c r="F10" s="433" t="s">
        <v>693</v>
      </c>
      <c r="G10" s="433" t="s">
        <v>719</v>
      </c>
      <c r="H10" s="433" t="s">
        <v>684</v>
      </c>
      <c r="I10" s="433" t="s">
        <v>720</v>
      </c>
      <c r="J10" s="433" t="s">
        <v>704</v>
      </c>
      <c r="K10" s="433" t="s">
        <v>721</v>
      </c>
      <c r="L10" s="433" t="s">
        <v>722</v>
      </c>
      <c r="M10" s="433" t="s">
        <v>723</v>
      </c>
      <c r="N10" s="433" t="s">
        <v>724</v>
      </c>
      <c r="O10" s="433" t="s">
        <v>725</v>
      </c>
      <c r="P10" s="433" t="s">
        <v>726</v>
      </c>
      <c r="Q10" s="433" t="s">
        <v>727</v>
      </c>
      <c r="R10" s="433" t="s">
        <v>728</v>
      </c>
    </row>
    <row r="11" spans="1:18" x14ac:dyDescent="0.2">
      <c r="A11" s="431">
        <v>7</v>
      </c>
      <c r="B11" s="432" t="s">
        <v>729</v>
      </c>
      <c r="C11" s="431">
        <v>25</v>
      </c>
      <c r="D11" s="431">
        <v>625</v>
      </c>
      <c r="E11" s="433" t="s">
        <v>730</v>
      </c>
      <c r="F11" s="433" t="s">
        <v>731</v>
      </c>
      <c r="G11" s="433" t="s">
        <v>732</v>
      </c>
      <c r="H11" s="433" t="s">
        <v>733</v>
      </c>
      <c r="I11" s="433" t="s">
        <v>734</v>
      </c>
      <c r="J11" s="433" t="s">
        <v>735</v>
      </c>
      <c r="K11" s="433" t="s">
        <v>736</v>
      </c>
      <c r="L11" s="433" t="s">
        <v>737</v>
      </c>
      <c r="M11" s="433" t="s">
        <v>707</v>
      </c>
      <c r="N11" s="433" t="s">
        <v>738</v>
      </c>
      <c r="O11" s="433" t="s">
        <v>739</v>
      </c>
      <c r="P11" s="433" t="s">
        <v>740</v>
      </c>
      <c r="Q11" s="433" t="s">
        <v>741</v>
      </c>
      <c r="R11" s="433" t="s">
        <v>742</v>
      </c>
    </row>
    <row r="12" spans="1:18" x14ac:dyDescent="0.2">
      <c r="A12" s="431">
        <v>8</v>
      </c>
      <c r="B12" s="432" t="s">
        <v>743</v>
      </c>
      <c r="C12" s="431">
        <v>25</v>
      </c>
      <c r="D12" s="431">
        <v>650</v>
      </c>
      <c r="E12" s="433" t="s">
        <v>678</v>
      </c>
      <c r="F12" s="433" t="s">
        <v>744</v>
      </c>
      <c r="G12" s="433" t="s">
        <v>745</v>
      </c>
      <c r="H12" s="433" t="s">
        <v>746</v>
      </c>
      <c r="I12" s="433" t="s">
        <v>747</v>
      </c>
      <c r="J12" s="433" t="s">
        <v>748</v>
      </c>
      <c r="K12" s="433" t="s">
        <v>749</v>
      </c>
      <c r="L12" s="433" t="s">
        <v>750</v>
      </c>
      <c r="M12" s="433" t="s">
        <v>711</v>
      </c>
      <c r="N12" s="433" t="s">
        <v>751</v>
      </c>
      <c r="O12" s="433" t="s">
        <v>752</v>
      </c>
      <c r="P12" s="433" t="s">
        <v>753</v>
      </c>
      <c r="Q12" s="433" t="s">
        <v>754</v>
      </c>
      <c r="R12" s="433" t="s">
        <v>750</v>
      </c>
    </row>
    <row r="13" spans="1:18" x14ac:dyDescent="0.2">
      <c r="A13" s="431">
        <v>9</v>
      </c>
      <c r="B13" s="432" t="s">
        <v>755</v>
      </c>
      <c r="C13" s="431">
        <v>24</v>
      </c>
      <c r="D13" s="431">
        <v>705</v>
      </c>
      <c r="E13" s="433" t="s">
        <v>756</v>
      </c>
      <c r="F13" s="433" t="s">
        <v>757</v>
      </c>
      <c r="G13" s="433" t="s">
        <v>758</v>
      </c>
      <c r="H13" s="433" t="s">
        <v>759</v>
      </c>
      <c r="I13" s="433" t="s">
        <v>760</v>
      </c>
      <c r="J13" s="433" t="s">
        <v>761</v>
      </c>
      <c r="K13" s="433" t="s">
        <v>762</v>
      </c>
      <c r="L13" s="433" t="s">
        <v>718</v>
      </c>
      <c r="M13" s="433" t="s">
        <v>763</v>
      </c>
      <c r="N13" s="433" t="s">
        <v>764</v>
      </c>
      <c r="O13" s="433" t="s">
        <v>765</v>
      </c>
      <c r="P13" s="433" t="s">
        <v>766</v>
      </c>
      <c r="Q13" s="433" t="s">
        <v>767</v>
      </c>
      <c r="R13" s="433" t="s">
        <v>768</v>
      </c>
    </row>
    <row r="14" spans="1:18" x14ac:dyDescent="0.2">
      <c r="A14" s="431">
        <v>10</v>
      </c>
      <c r="B14" s="432" t="s">
        <v>769</v>
      </c>
      <c r="C14" s="431">
        <v>25</v>
      </c>
      <c r="D14" s="431">
        <v>750</v>
      </c>
      <c r="E14" s="433" t="s">
        <v>676</v>
      </c>
      <c r="F14" s="433" t="s">
        <v>770</v>
      </c>
      <c r="G14" s="433" t="s">
        <v>771</v>
      </c>
      <c r="H14" s="433" t="s">
        <v>772</v>
      </c>
      <c r="I14" s="433" t="s">
        <v>773</v>
      </c>
      <c r="J14" s="433" t="s">
        <v>774</v>
      </c>
      <c r="K14" s="433" t="s">
        <v>775</v>
      </c>
      <c r="L14" s="433" t="s">
        <v>776</v>
      </c>
      <c r="M14" s="433" t="s">
        <v>777</v>
      </c>
      <c r="N14" s="433" t="s">
        <v>778</v>
      </c>
      <c r="O14" s="433" t="s">
        <v>779</v>
      </c>
      <c r="P14" s="433" t="s">
        <v>780</v>
      </c>
      <c r="Q14" s="433" t="s">
        <v>781</v>
      </c>
      <c r="R14" s="433" t="s">
        <v>782</v>
      </c>
    </row>
    <row r="15" spans="1:18" x14ac:dyDescent="0.2">
      <c r="A15" s="431">
        <v>11</v>
      </c>
      <c r="B15" s="432" t="s">
        <v>783</v>
      </c>
      <c r="C15" s="431">
        <v>26</v>
      </c>
      <c r="D15" s="431">
        <v>750</v>
      </c>
      <c r="E15" s="433" t="s">
        <v>652</v>
      </c>
      <c r="F15" s="433" t="s">
        <v>784</v>
      </c>
      <c r="G15" s="433" t="s">
        <v>785</v>
      </c>
      <c r="H15" s="433" t="s">
        <v>786</v>
      </c>
      <c r="I15" s="433" t="s">
        <v>787</v>
      </c>
      <c r="J15" s="433" t="s">
        <v>788</v>
      </c>
      <c r="K15" s="433" t="s">
        <v>789</v>
      </c>
      <c r="L15" s="433" t="s">
        <v>756</v>
      </c>
      <c r="M15" s="433" t="s">
        <v>790</v>
      </c>
      <c r="N15" s="433" t="s">
        <v>791</v>
      </c>
      <c r="O15" s="433" t="s">
        <v>792</v>
      </c>
      <c r="P15" s="433" t="s">
        <v>793</v>
      </c>
      <c r="Q15" s="433" t="s">
        <v>794</v>
      </c>
      <c r="R15" s="433" t="s">
        <v>795</v>
      </c>
    </row>
    <row r="16" spans="1:18" x14ac:dyDescent="0.2">
      <c r="A16" s="431">
        <v>12</v>
      </c>
      <c r="B16" s="432" t="s">
        <v>796</v>
      </c>
      <c r="C16" s="431">
        <v>23</v>
      </c>
      <c r="D16" s="431">
        <v>605</v>
      </c>
      <c r="E16" s="433" t="s">
        <v>797</v>
      </c>
      <c r="F16" s="433" t="s">
        <v>798</v>
      </c>
      <c r="G16" s="433" t="s">
        <v>799</v>
      </c>
      <c r="H16" s="433" t="s">
        <v>711</v>
      </c>
      <c r="I16" s="433" t="s">
        <v>800</v>
      </c>
      <c r="J16" s="433" t="s">
        <v>801</v>
      </c>
      <c r="K16" s="433" t="s">
        <v>802</v>
      </c>
      <c r="L16" s="433" t="s">
        <v>718</v>
      </c>
      <c r="M16" s="433" t="s">
        <v>782</v>
      </c>
      <c r="N16" s="433" t="s">
        <v>803</v>
      </c>
      <c r="O16" s="433" t="s">
        <v>804</v>
      </c>
      <c r="P16" s="433" t="s">
        <v>805</v>
      </c>
      <c r="Q16" s="433" t="s">
        <v>806</v>
      </c>
      <c r="R16" s="433" t="s">
        <v>807</v>
      </c>
    </row>
    <row r="17" spans="1:18" x14ac:dyDescent="0.2">
      <c r="A17" s="431">
        <v>13</v>
      </c>
      <c r="B17" s="432" t="s">
        <v>808</v>
      </c>
      <c r="C17" s="431">
        <v>23</v>
      </c>
      <c r="D17" s="431">
        <v>630</v>
      </c>
      <c r="E17" s="433" t="s">
        <v>809</v>
      </c>
      <c r="F17" s="433" t="s">
        <v>757</v>
      </c>
      <c r="G17" s="433" t="s">
        <v>810</v>
      </c>
      <c r="H17" s="433" t="s">
        <v>811</v>
      </c>
      <c r="I17" s="433" t="s">
        <v>812</v>
      </c>
      <c r="J17" s="433" t="s">
        <v>813</v>
      </c>
      <c r="K17" s="433" t="s">
        <v>814</v>
      </c>
      <c r="L17" s="433" t="s">
        <v>815</v>
      </c>
      <c r="M17" s="433" t="s">
        <v>816</v>
      </c>
      <c r="N17" s="433" t="s">
        <v>817</v>
      </c>
      <c r="O17" s="433" t="s">
        <v>818</v>
      </c>
      <c r="P17" s="433" t="s">
        <v>819</v>
      </c>
      <c r="Q17" s="433" t="s">
        <v>820</v>
      </c>
      <c r="R17" s="433" t="s">
        <v>821</v>
      </c>
    </row>
    <row r="18" spans="1:18" x14ac:dyDescent="0.2">
      <c r="A18" s="431">
        <v>14</v>
      </c>
      <c r="B18" s="432" t="s">
        <v>822</v>
      </c>
      <c r="C18" s="431">
        <v>25</v>
      </c>
      <c r="D18" s="431">
        <v>750</v>
      </c>
      <c r="E18" s="433" t="s">
        <v>676</v>
      </c>
      <c r="F18" s="433" t="s">
        <v>823</v>
      </c>
      <c r="G18" s="433" t="s">
        <v>806</v>
      </c>
      <c r="H18" s="433" t="s">
        <v>824</v>
      </c>
      <c r="I18" s="433" t="s">
        <v>825</v>
      </c>
      <c r="J18" s="433" t="s">
        <v>826</v>
      </c>
      <c r="K18" s="433" t="s">
        <v>827</v>
      </c>
      <c r="L18" s="433" t="s">
        <v>828</v>
      </c>
      <c r="M18" s="433" t="s">
        <v>723</v>
      </c>
      <c r="N18" s="433" t="s">
        <v>829</v>
      </c>
      <c r="O18" s="433" t="s">
        <v>830</v>
      </c>
      <c r="P18" s="433" t="s">
        <v>831</v>
      </c>
      <c r="Q18" s="433" t="s">
        <v>832</v>
      </c>
      <c r="R18" s="433" t="s">
        <v>690</v>
      </c>
    </row>
    <row r="19" spans="1:18" x14ac:dyDescent="0.2">
      <c r="A19" s="431">
        <v>15</v>
      </c>
      <c r="B19" s="432" t="s">
        <v>833</v>
      </c>
      <c r="C19" s="431">
        <v>25</v>
      </c>
      <c r="D19" s="431">
        <v>750</v>
      </c>
      <c r="E19" s="433" t="s">
        <v>678</v>
      </c>
      <c r="F19" s="433" t="s">
        <v>834</v>
      </c>
      <c r="G19" s="433" t="s">
        <v>835</v>
      </c>
      <c r="H19" s="433" t="s">
        <v>826</v>
      </c>
      <c r="I19" s="433" t="s">
        <v>735</v>
      </c>
      <c r="J19" s="433" t="s">
        <v>836</v>
      </c>
      <c r="K19" s="433" t="s">
        <v>837</v>
      </c>
      <c r="L19" s="433" t="s">
        <v>838</v>
      </c>
      <c r="M19" s="433" t="s">
        <v>839</v>
      </c>
      <c r="N19" s="433" t="s">
        <v>840</v>
      </c>
      <c r="O19" s="433" t="s">
        <v>841</v>
      </c>
      <c r="P19" s="433" t="s">
        <v>842</v>
      </c>
      <c r="Q19" s="433" t="s">
        <v>843</v>
      </c>
      <c r="R19" s="433" t="s">
        <v>707</v>
      </c>
    </row>
    <row r="20" spans="1:18" x14ac:dyDescent="0.2">
      <c r="A20" s="431">
        <v>16</v>
      </c>
      <c r="B20" s="432" t="s">
        <v>844</v>
      </c>
      <c r="C20" s="431">
        <v>27</v>
      </c>
      <c r="D20" s="431">
        <v>750</v>
      </c>
      <c r="E20" s="433" t="s">
        <v>813</v>
      </c>
      <c r="F20" s="433" t="s">
        <v>845</v>
      </c>
      <c r="G20" s="433" t="s">
        <v>846</v>
      </c>
      <c r="H20" s="433" t="s">
        <v>847</v>
      </c>
      <c r="I20" s="433" t="s">
        <v>735</v>
      </c>
      <c r="J20" s="433" t="s">
        <v>848</v>
      </c>
      <c r="K20" s="433" t="s">
        <v>849</v>
      </c>
      <c r="L20" s="433" t="s">
        <v>828</v>
      </c>
      <c r="M20" s="433" t="s">
        <v>777</v>
      </c>
      <c r="N20" s="433" t="s">
        <v>850</v>
      </c>
      <c r="O20" s="433" t="s">
        <v>851</v>
      </c>
      <c r="P20" s="433" t="s">
        <v>821</v>
      </c>
      <c r="Q20" s="433" t="s">
        <v>852</v>
      </c>
      <c r="R20" s="433" t="s">
        <v>737</v>
      </c>
    </row>
    <row r="21" spans="1:18" x14ac:dyDescent="0.2">
      <c r="A21" s="431">
        <v>17</v>
      </c>
      <c r="B21" s="432" t="s">
        <v>853</v>
      </c>
      <c r="C21" s="431">
        <v>24</v>
      </c>
      <c r="D21" s="431">
        <v>600</v>
      </c>
      <c r="E21" s="433" t="s">
        <v>813</v>
      </c>
      <c r="F21" s="433" t="s">
        <v>854</v>
      </c>
      <c r="G21" s="433" t="s">
        <v>855</v>
      </c>
      <c r="H21" s="433" t="s">
        <v>694</v>
      </c>
      <c r="I21" s="433" t="s">
        <v>828</v>
      </c>
      <c r="J21" s="433" t="s">
        <v>856</v>
      </c>
      <c r="K21" s="433" t="s">
        <v>857</v>
      </c>
      <c r="L21" s="433" t="s">
        <v>684</v>
      </c>
      <c r="M21" s="433" t="s">
        <v>858</v>
      </c>
      <c r="N21" s="433" t="s">
        <v>859</v>
      </c>
      <c r="O21" s="433" t="s">
        <v>860</v>
      </c>
      <c r="P21" s="433" t="s">
        <v>861</v>
      </c>
      <c r="Q21" s="433" t="s">
        <v>862</v>
      </c>
      <c r="R21" s="433" t="s">
        <v>670</v>
      </c>
    </row>
    <row r="22" spans="1:18" x14ac:dyDescent="0.2">
      <c r="A22" s="431">
        <v>18</v>
      </c>
      <c r="B22" s="432" t="s">
        <v>863</v>
      </c>
      <c r="C22" s="431">
        <v>25</v>
      </c>
      <c r="D22" s="431">
        <v>750</v>
      </c>
      <c r="E22" s="433" t="s">
        <v>718</v>
      </c>
      <c r="F22" s="433" t="s">
        <v>864</v>
      </c>
      <c r="G22" s="433" t="s">
        <v>865</v>
      </c>
      <c r="H22" s="433" t="s">
        <v>866</v>
      </c>
      <c r="I22" s="433" t="s">
        <v>867</v>
      </c>
      <c r="J22" s="433" t="s">
        <v>670</v>
      </c>
      <c r="K22" s="433" t="s">
        <v>868</v>
      </c>
      <c r="L22" s="433" t="s">
        <v>869</v>
      </c>
      <c r="M22" s="433" t="s">
        <v>870</v>
      </c>
      <c r="N22" s="433" t="s">
        <v>871</v>
      </c>
      <c r="O22" s="433" t="s">
        <v>872</v>
      </c>
      <c r="P22" s="433" t="s">
        <v>873</v>
      </c>
      <c r="Q22" s="433" t="s">
        <v>874</v>
      </c>
      <c r="R22" s="433" t="s">
        <v>875</v>
      </c>
    </row>
    <row r="23" spans="1:18" x14ac:dyDescent="0.2">
      <c r="A23" s="431">
        <v>19</v>
      </c>
      <c r="B23" s="432" t="s">
        <v>876</v>
      </c>
      <c r="C23" s="431">
        <v>25</v>
      </c>
      <c r="D23" s="431">
        <v>750</v>
      </c>
      <c r="E23" s="433" t="s">
        <v>676</v>
      </c>
      <c r="F23" s="433" t="s">
        <v>877</v>
      </c>
      <c r="G23" s="433" t="s">
        <v>864</v>
      </c>
      <c r="H23" s="433" t="s">
        <v>878</v>
      </c>
      <c r="I23" s="433" t="s">
        <v>768</v>
      </c>
      <c r="J23" s="433" t="s">
        <v>879</v>
      </c>
      <c r="K23" s="433" t="s">
        <v>880</v>
      </c>
      <c r="L23" s="433" t="s">
        <v>659</v>
      </c>
      <c r="M23" s="433" t="s">
        <v>870</v>
      </c>
      <c r="N23" s="433" t="s">
        <v>881</v>
      </c>
      <c r="O23" s="433" t="s">
        <v>882</v>
      </c>
      <c r="P23" s="433" t="s">
        <v>883</v>
      </c>
      <c r="Q23" s="433" t="s">
        <v>884</v>
      </c>
      <c r="R23" s="433" t="s">
        <v>885</v>
      </c>
    </row>
    <row r="24" spans="1:18" x14ac:dyDescent="0.2">
      <c r="A24" s="431">
        <v>20</v>
      </c>
      <c r="B24" s="432" t="s">
        <v>886</v>
      </c>
      <c r="C24" s="431">
        <v>25</v>
      </c>
      <c r="D24" s="431">
        <v>750</v>
      </c>
      <c r="E24" s="433" t="s">
        <v>813</v>
      </c>
      <c r="F24" s="433" t="s">
        <v>887</v>
      </c>
      <c r="G24" s="433" t="s">
        <v>888</v>
      </c>
      <c r="H24" s="433" t="s">
        <v>722</v>
      </c>
      <c r="I24" s="433" t="s">
        <v>710</v>
      </c>
      <c r="J24" s="433" t="s">
        <v>889</v>
      </c>
      <c r="K24" s="433" t="s">
        <v>890</v>
      </c>
      <c r="L24" s="433" t="s">
        <v>690</v>
      </c>
      <c r="M24" s="433" t="s">
        <v>891</v>
      </c>
      <c r="N24" s="433" t="s">
        <v>892</v>
      </c>
      <c r="O24" s="433" t="s">
        <v>893</v>
      </c>
      <c r="P24" s="433" t="s">
        <v>894</v>
      </c>
      <c r="Q24" s="433" t="s">
        <v>895</v>
      </c>
      <c r="R24" s="433" t="s">
        <v>652</v>
      </c>
    </row>
    <row r="25" spans="1:18" x14ac:dyDescent="0.2">
      <c r="A25" s="431">
        <v>21</v>
      </c>
      <c r="B25" s="432" t="s">
        <v>896</v>
      </c>
      <c r="C25" s="431">
        <v>21</v>
      </c>
      <c r="D25" s="431">
        <v>630</v>
      </c>
      <c r="E25" s="433" t="s">
        <v>897</v>
      </c>
      <c r="F25" s="433" t="s">
        <v>898</v>
      </c>
      <c r="G25" s="433" t="s">
        <v>899</v>
      </c>
      <c r="H25" s="433" t="s">
        <v>900</v>
      </c>
      <c r="I25" s="433" t="s">
        <v>901</v>
      </c>
      <c r="J25" s="433" t="s">
        <v>750</v>
      </c>
      <c r="K25" s="433" t="s">
        <v>891</v>
      </c>
      <c r="L25" s="433" t="s">
        <v>902</v>
      </c>
      <c r="M25" s="433" t="s">
        <v>903</v>
      </c>
      <c r="N25" s="433" t="s">
        <v>904</v>
      </c>
      <c r="O25" s="433" t="s">
        <v>905</v>
      </c>
      <c r="P25" s="433" t="s">
        <v>906</v>
      </c>
      <c r="Q25" s="433" t="s">
        <v>907</v>
      </c>
      <c r="R25" s="433" t="s">
        <v>908</v>
      </c>
    </row>
    <row r="26" spans="1:18" x14ac:dyDescent="0.2">
      <c r="A26" s="431">
        <v>22</v>
      </c>
      <c r="B26" s="432" t="s">
        <v>909</v>
      </c>
      <c r="C26" s="431">
        <v>27</v>
      </c>
      <c r="D26" s="431">
        <v>720</v>
      </c>
      <c r="E26" s="433" t="s">
        <v>730</v>
      </c>
      <c r="F26" s="433" t="s">
        <v>910</v>
      </c>
      <c r="G26" s="433" t="s">
        <v>911</v>
      </c>
      <c r="H26" s="433" t="s">
        <v>747</v>
      </c>
      <c r="I26" s="433" t="s">
        <v>685</v>
      </c>
      <c r="J26" s="433" t="s">
        <v>912</v>
      </c>
      <c r="K26" s="433" t="s">
        <v>913</v>
      </c>
      <c r="L26" s="433" t="s">
        <v>750</v>
      </c>
      <c r="M26" s="433" t="s">
        <v>747</v>
      </c>
      <c r="N26" s="433" t="s">
        <v>914</v>
      </c>
      <c r="O26" s="433" t="s">
        <v>915</v>
      </c>
      <c r="P26" s="433" t="s">
        <v>916</v>
      </c>
      <c r="Q26" s="433" t="s">
        <v>917</v>
      </c>
      <c r="R26" s="433" t="s">
        <v>657</v>
      </c>
    </row>
    <row r="27" spans="1:18" x14ac:dyDescent="0.2">
      <c r="A27" s="431">
        <v>23</v>
      </c>
      <c r="B27" s="432" t="s">
        <v>918</v>
      </c>
      <c r="C27" s="431">
        <v>25</v>
      </c>
      <c r="D27" s="431">
        <v>750</v>
      </c>
      <c r="E27" s="433" t="s">
        <v>797</v>
      </c>
      <c r="F27" s="433" t="s">
        <v>919</v>
      </c>
      <c r="G27" s="433" t="s">
        <v>920</v>
      </c>
      <c r="H27" s="433" t="s">
        <v>875</v>
      </c>
      <c r="I27" s="433" t="s">
        <v>903</v>
      </c>
      <c r="J27" s="433" t="s">
        <v>921</v>
      </c>
      <c r="K27" s="433" t="s">
        <v>922</v>
      </c>
      <c r="L27" s="433" t="s">
        <v>730</v>
      </c>
      <c r="M27" s="433" t="s">
        <v>923</v>
      </c>
      <c r="N27" s="433" t="s">
        <v>924</v>
      </c>
      <c r="O27" s="433" t="s">
        <v>925</v>
      </c>
      <c r="P27" s="433" t="s">
        <v>926</v>
      </c>
      <c r="Q27" s="433" t="s">
        <v>927</v>
      </c>
      <c r="R27" s="433" t="s">
        <v>928</v>
      </c>
    </row>
    <row r="28" spans="1:18" x14ac:dyDescent="0.2">
      <c r="A28" s="431">
        <v>24</v>
      </c>
      <c r="B28" s="432" t="s">
        <v>929</v>
      </c>
      <c r="C28" s="431">
        <v>25</v>
      </c>
      <c r="D28" s="431">
        <v>750</v>
      </c>
      <c r="E28" s="433" t="s">
        <v>776</v>
      </c>
      <c r="F28" s="433" t="s">
        <v>930</v>
      </c>
      <c r="G28" s="433" t="s">
        <v>907</v>
      </c>
      <c r="H28" s="433" t="s">
        <v>931</v>
      </c>
      <c r="I28" s="433" t="s">
        <v>750</v>
      </c>
      <c r="J28" s="433" t="s">
        <v>696</v>
      </c>
      <c r="K28" s="433" t="s">
        <v>932</v>
      </c>
      <c r="L28" s="433" t="s">
        <v>933</v>
      </c>
      <c r="M28" s="433" t="s">
        <v>671</v>
      </c>
      <c r="N28" s="433" t="s">
        <v>934</v>
      </c>
      <c r="O28" s="433" t="s">
        <v>935</v>
      </c>
      <c r="P28" s="433" t="s">
        <v>936</v>
      </c>
      <c r="Q28" s="433" t="s">
        <v>937</v>
      </c>
      <c r="R28" s="433" t="s">
        <v>938</v>
      </c>
    </row>
    <row r="29" spans="1:18" x14ac:dyDescent="0.2">
      <c r="A29" s="431">
        <v>25</v>
      </c>
      <c r="B29" s="432" t="s">
        <v>939</v>
      </c>
      <c r="C29" s="431">
        <v>22</v>
      </c>
      <c r="D29" s="431">
        <v>615</v>
      </c>
      <c r="E29" s="433" t="s">
        <v>809</v>
      </c>
      <c r="F29" s="433" t="s">
        <v>940</v>
      </c>
      <c r="G29" s="433" t="s">
        <v>941</v>
      </c>
      <c r="H29" s="433" t="s">
        <v>942</v>
      </c>
      <c r="I29" s="433" t="s">
        <v>747</v>
      </c>
      <c r="J29" s="433" t="s">
        <v>788</v>
      </c>
      <c r="K29" s="433" t="s">
        <v>943</v>
      </c>
      <c r="L29" s="433" t="s">
        <v>695</v>
      </c>
      <c r="M29" s="433" t="s">
        <v>722</v>
      </c>
      <c r="N29" s="433" t="s">
        <v>944</v>
      </c>
      <c r="O29" s="433" t="s">
        <v>881</v>
      </c>
      <c r="P29" s="433" t="s">
        <v>945</v>
      </c>
      <c r="Q29" s="433" t="s">
        <v>946</v>
      </c>
      <c r="R29" s="433" t="s">
        <v>680</v>
      </c>
    </row>
    <row r="30" spans="1:18" x14ac:dyDescent="0.2">
      <c r="A30" s="431">
        <v>26</v>
      </c>
      <c r="B30" s="432" t="s">
        <v>947</v>
      </c>
      <c r="C30" s="431">
        <v>25</v>
      </c>
      <c r="D30" s="431">
        <v>750</v>
      </c>
      <c r="E30" s="433" t="s">
        <v>826</v>
      </c>
      <c r="F30" s="433" t="s">
        <v>948</v>
      </c>
      <c r="G30" s="433" t="s">
        <v>949</v>
      </c>
      <c r="H30" s="433" t="s">
        <v>950</v>
      </c>
      <c r="I30" s="433" t="s">
        <v>885</v>
      </c>
      <c r="J30" s="433" t="s">
        <v>801</v>
      </c>
      <c r="K30" s="433" t="s">
        <v>951</v>
      </c>
      <c r="L30" s="433" t="s">
        <v>952</v>
      </c>
      <c r="M30" s="433" t="s">
        <v>928</v>
      </c>
      <c r="N30" s="433" t="s">
        <v>953</v>
      </c>
      <c r="O30" s="433" t="s">
        <v>954</v>
      </c>
      <c r="P30" s="433" t="s">
        <v>955</v>
      </c>
      <c r="Q30" s="433" t="s">
        <v>956</v>
      </c>
      <c r="R30" s="433" t="s">
        <v>957</v>
      </c>
    </row>
    <row r="31" spans="1:18" x14ac:dyDescent="0.2">
      <c r="A31" s="431">
        <v>27</v>
      </c>
      <c r="B31" s="432" t="s">
        <v>958</v>
      </c>
      <c r="C31" s="431">
        <v>30</v>
      </c>
      <c r="D31" s="431">
        <v>750</v>
      </c>
      <c r="E31" s="433" t="s">
        <v>776</v>
      </c>
      <c r="F31" s="433" t="s">
        <v>959</v>
      </c>
      <c r="G31" s="433" t="s">
        <v>960</v>
      </c>
      <c r="H31" s="433" t="s">
        <v>961</v>
      </c>
      <c r="I31" s="433" t="s">
        <v>962</v>
      </c>
      <c r="J31" s="433" t="s">
        <v>716</v>
      </c>
      <c r="K31" s="433" t="s">
        <v>681</v>
      </c>
      <c r="L31" s="433" t="s">
        <v>667</v>
      </c>
      <c r="M31" s="433" t="s">
        <v>768</v>
      </c>
      <c r="N31" s="433" t="s">
        <v>963</v>
      </c>
      <c r="O31" s="433" t="s">
        <v>964</v>
      </c>
      <c r="P31" s="433" t="s">
        <v>965</v>
      </c>
      <c r="Q31" s="433" t="s">
        <v>966</v>
      </c>
      <c r="R31" s="433" t="s">
        <v>967</v>
      </c>
    </row>
    <row r="32" spans="1:18" x14ac:dyDescent="0.2">
      <c r="A32" s="431">
        <v>28</v>
      </c>
      <c r="B32" s="432" t="s">
        <v>968</v>
      </c>
      <c r="C32" s="431">
        <v>24</v>
      </c>
      <c r="D32" s="431">
        <v>720</v>
      </c>
      <c r="E32" s="433" t="s">
        <v>809</v>
      </c>
      <c r="F32" s="433" t="s">
        <v>969</v>
      </c>
      <c r="G32" s="433" t="s">
        <v>772</v>
      </c>
      <c r="H32" s="433" t="s">
        <v>970</v>
      </c>
      <c r="I32" s="433" t="s">
        <v>971</v>
      </c>
      <c r="J32" s="433" t="s">
        <v>723</v>
      </c>
      <c r="K32" s="433" t="s">
        <v>972</v>
      </c>
      <c r="L32" s="433" t="s">
        <v>704</v>
      </c>
      <c r="M32" s="433" t="s">
        <v>749</v>
      </c>
      <c r="N32" s="433" t="s">
        <v>973</v>
      </c>
      <c r="O32" s="433" t="s">
        <v>974</v>
      </c>
      <c r="P32" s="433" t="s">
        <v>975</v>
      </c>
      <c r="Q32" s="433" t="s">
        <v>846</v>
      </c>
      <c r="R32" s="433" t="s">
        <v>670</v>
      </c>
    </row>
    <row r="33" spans="1:18" x14ac:dyDescent="0.2">
      <c r="A33" s="431">
        <v>29</v>
      </c>
      <c r="B33" s="432" t="s">
        <v>976</v>
      </c>
      <c r="C33" s="431">
        <v>25</v>
      </c>
      <c r="D33" s="431">
        <v>750</v>
      </c>
      <c r="E33" s="433" t="s">
        <v>977</v>
      </c>
      <c r="F33" s="433" t="s">
        <v>978</v>
      </c>
      <c r="G33" s="433" t="s">
        <v>979</v>
      </c>
      <c r="H33" s="433" t="s">
        <v>980</v>
      </c>
      <c r="I33" s="433" t="s">
        <v>981</v>
      </c>
      <c r="J33" s="433" t="s">
        <v>951</v>
      </c>
      <c r="K33" s="433" t="s">
        <v>982</v>
      </c>
      <c r="L33" s="433" t="s">
        <v>711</v>
      </c>
      <c r="M33" s="433" t="s">
        <v>983</v>
      </c>
      <c r="N33" s="433" t="s">
        <v>984</v>
      </c>
      <c r="O33" s="433" t="s">
        <v>985</v>
      </c>
      <c r="P33" s="433" t="s">
        <v>986</v>
      </c>
      <c r="Q33" s="433" t="s">
        <v>987</v>
      </c>
      <c r="R33" s="433" t="s">
        <v>801</v>
      </c>
    </row>
    <row r="34" spans="1:18" x14ac:dyDescent="0.2">
      <c r="A34" s="431">
        <v>30</v>
      </c>
      <c r="B34" s="432" t="s">
        <v>988</v>
      </c>
      <c r="C34" s="431">
        <v>25</v>
      </c>
      <c r="D34" s="431">
        <v>750</v>
      </c>
      <c r="E34" s="433" t="s">
        <v>952</v>
      </c>
      <c r="F34" s="433" t="s">
        <v>989</v>
      </c>
      <c r="G34" s="433" t="s">
        <v>990</v>
      </c>
      <c r="H34" s="433" t="s">
        <v>991</v>
      </c>
      <c r="I34" s="433" t="s">
        <v>682</v>
      </c>
      <c r="J34" s="433" t="s">
        <v>684</v>
      </c>
      <c r="K34" s="433" t="s">
        <v>656</v>
      </c>
      <c r="L34" s="433" t="s">
        <v>730</v>
      </c>
      <c r="M34" s="433" t="s">
        <v>992</v>
      </c>
      <c r="N34" s="433" t="s">
        <v>993</v>
      </c>
      <c r="O34" s="433" t="s">
        <v>994</v>
      </c>
      <c r="P34" s="433" t="s">
        <v>995</v>
      </c>
      <c r="Q34" s="433" t="s">
        <v>996</v>
      </c>
      <c r="R34" s="433" t="s">
        <v>652</v>
      </c>
    </row>
    <row r="35" spans="1:18" x14ac:dyDescent="0.2">
      <c r="A35" s="431">
        <v>31</v>
      </c>
      <c r="B35" s="432" t="s">
        <v>997</v>
      </c>
      <c r="C35" s="431">
        <v>25</v>
      </c>
      <c r="D35" s="431">
        <v>750</v>
      </c>
      <c r="E35" s="433" t="s">
        <v>730</v>
      </c>
      <c r="F35" s="433" t="s">
        <v>998</v>
      </c>
      <c r="G35" s="433" t="s">
        <v>999</v>
      </c>
      <c r="H35" s="433" t="s">
        <v>1000</v>
      </c>
      <c r="I35" s="433" t="s">
        <v>848</v>
      </c>
      <c r="J35" s="433" t="s">
        <v>722</v>
      </c>
      <c r="K35" s="433" t="s">
        <v>772</v>
      </c>
      <c r="L35" s="433" t="s">
        <v>809</v>
      </c>
      <c r="M35" s="433" t="s">
        <v>1001</v>
      </c>
      <c r="N35" s="433" t="s">
        <v>1002</v>
      </c>
      <c r="O35" s="433" t="s">
        <v>1003</v>
      </c>
      <c r="P35" s="433" t="s">
        <v>1004</v>
      </c>
      <c r="Q35" s="433" t="s">
        <v>1005</v>
      </c>
      <c r="R35" s="433" t="s">
        <v>1006</v>
      </c>
    </row>
    <row r="36" spans="1:18" x14ac:dyDescent="0.2">
      <c r="A36" s="431">
        <v>32</v>
      </c>
      <c r="B36" s="432" t="s">
        <v>1007</v>
      </c>
      <c r="C36" s="431">
        <v>27</v>
      </c>
      <c r="D36" s="431">
        <v>810</v>
      </c>
      <c r="E36" s="433" t="s">
        <v>676</v>
      </c>
      <c r="F36" s="433" t="s">
        <v>1008</v>
      </c>
      <c r="G36" s="433" t="s">
        <v>1008</v>
      </c>
      <c r="H36" s="433" t="s">
        <v>670</v>
      </c>
      <c r="I36" s="433" t="s">
        <v>786</v>
      </c>
      <c r="J36" s="433" t="s">
        <v>1009</v>
      </c>
      <c r="K36" s="433" t="s">
        <v>949</v>
      </c>
      <c r="L36" s="433" t="s">
        <v>678</v>
      </c>
      <c r="M36" s="433" t="s">
        <v>1010</v>
      </c>
      <c r="N36" s="433" t="s">
        <v>1011</v>
      </c>
      <c r="O36" s="433" t="s">
        <v>1012</v>
      </c>
      <c r="P36" s="433" t="s">
        <v>1013</v>
      </c>
      <c r="Q36" s="433" t="s">
        <v>1014</v>
      </c>
      <c r="R36" s="433" t="s">
        <v>800</v>
      </c>
    </row>
    <row r="37" spans="1:18" x14ac:dyDescent="0.2">
      <c r="A37" s="431">
        <v>33</v>
      </c>
      <c r="B37" s="432" t="s">
        <v>1015</v>
      </c>
      <c r="C37" s="431">
        <v>30</v>
      </c>
      <c r="D37" s="431">
        <v>750</v>
      </c>
      <c r="E37" s="433" t="s">
        <v>786</v>
      </c>
      <c r="F37" s="433" t="s">
        <v>1016</v>
      </c>
      <c r="G37" s="433" t="s">
        <v>1017</v>
      </c>
      <c r="H37" s="433" t="s">
        <v>1018</v>
      </c>
      <c r="I37" s="433" t="s">
        <v>950</v>
      </c>
      <c r="J37" s="433" t="s">
        <v>933</v>
      </c>
      <c r="K37" s="433" t="s">
        <v>999</v>
      </c>
      <c r="L37" s="433" t="s">
        <v>750</v>
      </c>
      <c r="M37" s="433" t="s">
        <v>827</v>
      </c>
      <c r="N37" s="433" t="s">
        <v>1019</v>
      </c>
      <c r="O37" s="433" t="s">
        <v>1020</v>
      </c>
      <c r="P37" s="433" t="s">
        <v>1021</v>
      </c>
      <c r="Q37" s="433" t="s">
        <v>1022</v>
      </c>
      <c r="R37" s="433" t="s">
        <v>1023</v>
      </c>
    </row>
    <row r="38" spans="1:18" x14ac:dyDescent="0.2">
      <c r="A38" s="431">
        <v>34</v>
      </c>
      <c r="B38" s="434" t="s">
        <v>1024</v>
      </c>
      <c r="C38" s="431">
        <v>26</v>
      </c>
      <c r="D38" s="431">
        <v>780</v>
      </c>
      <c r="E38" s="433" t="s">
        <v>710</v>
      </c>
      <c r="F38" s="433" t="s">
        <v>1025</v>
      </c>
      <c r="G38" s="433" t="s">
        <v>1026</v>
      </c>
      <c r="H38" s="433" t="s">
        <v>948</v>
      </c>
      <c r="I38" s="433" t="s">
        <v>1027</v>
      </c>
      <c r="J38" s="433" t="s">
        <v>695</v>
      </c>
      <c r="K38" s="433" t="s">
        <v>719</v>
      </c>
      <c r="L38" s="433" t="s">
        <v>991</v>
      </c>
      <c r="M38" s="433" t="s">
        <v>1028</v>
      </c>
      <c r="N38" s="433" t="s">
        <v>1029</v>
      </c>
      <c r="O38" s="433" t="s">
        <v>1030</v>
      </c>
      <c r="P38" s="433" t="s">
        <v>1031</v>
      </c>
      <c r="Q38" s="433" t="s">
        <v>1032</v>
      </c>
      <c r="R38" s="433" t="s">
        <v>1033</v>
      </c>
    </row>
    <row r="39" spans="1:18" ht="22.5" x14ac:dyDescent="0.2">
      <c r="A39" s="431">
        <v>35</v>
      </c>
      <c r="B39" s="434" t="s">
        <v>1034</v>
      </c>
      <c r="C39" s="431">
        <v>25</v>
      </c>
      <c r="D39" s="431">
        <v>625</v>
      </c>
      <c r="E39" s="433" t="s">
        <v>826</v>
      </c>
      <c r="F39" s="433" t="s">
        <v>771</v>
      </c>
      <c r="G39" s="433" t="s">
        <v>1009</v>
      </c>
      <c r="H39" s="433" t="s">
        <v>678</v>
      </c>
      <c r="I39" s="433" t="s">
        <v>1035</v>
      </c>
      <c r="J39" s="433" t="s">
        <v>786</v>
      </c>
      <c r="K39" s="433" t="s">
        <v>1036</v>
      </c>
      <c r="L39" s="433" t="s">
        <v>826</v>
      </c>
      <c r="M39" s="433" t="s">
        <v>1037</v>
      </c>
      <c r="N39" s="433" t="s">
        <v>1038</v>
      </c>
      <c r="O39" s="433" t="s">
        <v>1039</v>
      </c>
      <c r="P39" s="433" t="s">
        <v>894</v>
      </c>
      <c r="Q39" s="433" t="s">
        <v>1040</v>
      </c>
      <c r="R39" s="433" t="s">
        <v>1041</v>
      </c>
    </row>
    <row r="40" spans="1:18" x14ac:dyDescent="0.2">
      <c r="A40" s="431">
        <v>36</v>
      </c>
      <c r="B40" s="434" t="s">
        <v>1042</v>
      </c>
      <c r="C40" s="431">
        <v>25</v>
      </c>
      <c r="D40" s="431">
        <v>750</v>
      </c>
      <c r="E40" s="433" t="s">
        <v>809</v>
      </c>
      <c r="F40" s="433" t="s">
        <v>1043</v>
      </c>
      <c r="G40" s="433" t="s">
        <v>1044</v>
      </c>
      <c r="H40" s="433" t="s">
        <v>734</v>
      </c>
      <c r="I40" s="433" t="s">
        <v>990</v>
      </c>
      <c r="J40" s="433" t="s">
        <v>797</v>
      </c>
      <c r="K40" s="433" t="s">
        <v>1045</v>
      </c>
      <c r="L40" s="433" t="s">
        <v>1046</v>
      </c>
      <c r="M40" s="433" t="s">
        <v>899</v>
      </c>
      <c r="N40" s="433" t="s">
        <v>1047</v>
      </c>
      <c r="O40" s="433" t="s">
        <v>1048</v>
      </c>
      <c r="P40" s="433" t="s">
        <v>1049</v>
      </c>
      <c r="Q40" s="433" t="s">
        <v>1050</v>
      </c>
      <c r="R40" s="433" t="s">
        <v>782</v>
      </c>
    </row>
    <row r="41" spans="1:18" x14ac:dyDescent="0.2">
      <c r="A41" s="431">
        <v>37</v>
      </c>
      <c r="B41" s="434" t="s">
        <v>1051</v>
      </c>
      <c r="C41" s="431">
        <v>20</v>
      </c>
      <c r="D41" s="431">
        <v>600</v>
      </c>
      <c r="E41" s="433" t="s">
        <v>776</v>
      </c>
      <c r="F41" s="433" t="s">
        <v>1052</v>
      </c>
      <c r="G41" s="433" t="s">
        <v>1053</v>
      </c>
      <c r="H41" s="433" t="s">
        <v>710</v>
      </c>
      <c r="I41" s="433" t="s">
        <v>961</v>
      </c>
      <c r="J41" s="433" t="s">
        <v>694</v>
      </c>
      <c r="K41" s="433" t="s">
        <v>1054</v>
      </c>
      <c r="L41" s="433" t="s">
        <v>897</v>
      </c>
      <c r="M41" s="433" t="s">
        <v>824</v>
      </c>
      <c r="N41" s="433" t="s">
        <v>1055</v>
      </c>
      <c r="O41" s="433" t="s">
        <v>1056</v>
      </c>
      <c r="P41" s="433" t="s">
        <v>1057</v>
      </c>
      <c r="Q41" s="433" t="s">
        <v>1058</v>
      </c>
      <c r="R41" s="433" t="s">
        <v>1059</v>
      </c>
    </row>
    <row r="42" spans="1:18" x14ac:dyDescent="0.2">
      <c r="A42" s="431">
        <v>38</v>
      </c>
      <c r="B42" s="434" t="s">
        <v>1060</v>
      </c>
      <c r="C42" s="431">
        <v>21</v>
      </c>
      <c r="D42" s="431">
        <v>630</v>
      </c>
      <c r="E42" s="433" t="s">
        <v>718</v>
      </c>
      <c r="F42" s="433" t="s">
        <v>1061</v>
      </c>
      <c r="G42" s="433" t="s">
        <v>1062</v>
      </c>
      <c r="H42" s="433" t="s">
        <v>665</v>
      </c>
      <c r="I42" s="433" t="s">
        <v>1063</v>
      </c>
      <c r="J42" s="433" t="s">
        <v>938</v>
      </c>
      <c r="K42" s="433" t="s">
        <v>1064</v>
      </c>
      <c r="L42" s="433" t="s">
        <v>809</v>
      </c>
      <c r="M42" s="433" t="s">
        <v>1065</v>
      </c>
      <c r="N42" s="433" t="s">
        <v>1066</v>
      </c>
      <c r="O42" s="433" t="s">
        <v>1067</v>
      </c>
      <c r="P42" s="433" t="s">
        <v>1068</v>
      </c>
      <c r="Q42" s="433" t="s">
        <v>1069</v>
      </c>
      <c r="R42" s="433" t="s">
        <v>1070</v>
      </c>
    </row>
    <row r="43" spans="1:18" x14ac:dyDescent="0.2">
      <c r="A43" s="431">
        <v>39</v>
      </c>
      <c r="B43" s="434" t="s">
        <v>1071</v>
      </c>
      <c r="C43" s="431">
        <v>18</v>
      </c>
      <c r="D43" s="431">
        <v>450</v>
      </c>
      <c r="E43" s="433" t="s">
        <v>797</v>
      </c>
      <c r="F43" s="433" t="s">
        <v>1072</v>
      </c>
      <c r="G43" s="433" t="s">
        <v>1073</v>
      </c>
      <c r="H43" s="433" t="s">
        <v>983</v>
      </c>
      <c r="I43" s="433" t="s">
        <v>957</v>
      </c>
      <c r="J43" s="433" t="s">
        <v>787</v>
      </c>
      <c r="K43" s="433" t="s">
        <v>782</v>
      </c>
      <c r="L43" s="433" t="s">
        <v>933</v>
      </c>
      <c r="M43" s="433" t="s">
        <v>699</v>
      </c>
      <c r="N43" s="433" t="s">
        <v>1074</v>
      </c>
      <c r="O43" s="433" t="s">
        <v>1075</v>
      </c>
      <c r="P43" s="433" t="s">
        <v>1076</v>
      </c>
      <c r="Q43" s="433" t="s">
        <v>1077</v>
      </c>
      <c r="R43" s="433" t="s">
        <v>1078</v>
      </c>
    </row>
    <row r="44" spans="1:18" x14ac:dyDescent="0.2">
      <c r="A44" s="431">
        <v>40</v>
      </c>
      <c r="B44" s="434" t="s">
        <v>1079</v>
      </c>
      <c r="C44" s="431">
        <v>25</v>
      </c>
      <c r="D44" s="431">
        <v>750</v>
      </c>
      <c r="E44" s="433" t="s">
        <v>676</v>
      </c>
      <c r="F44" s="433" t="s">
        <v>1080</v>
      </c>
      <c r="G44" s="433" t="s">
        <v>930</v>
      </c>
      <c r="H44" s="433" t="s">
        <v>1081</v>
      </c>
      <c r="I44" s="433" t="s">
        <v>697</v>
      </c>
      <c r="J44" s="433" t="s">
        <v>992</v>
      </c>
      <c r="K44" s="433" t="s">
        <v>1082</v>
      </c>
      <c r="L44" s="433" t="s">
        <v>667</v>
      </c>
      <c r="M44" s="433" t="s">
        <v>763</v>
      </c>
      <c r="N44" s="433" t="s">
        <v>1083</v>
      </c>
      <c r="O44" s="433" t="s">
        <v>1084</v>
      </c>
      <c r="P44" s="433" t="s">
        <v>1085</v>
      </c>
      <c r="Q44" s="433" t="s">
        <v>1086</v>
      </c>
      <c r="R44" s="433" t="s">
        <v>1078</v>
      </c>
    </row>
    <row r="45" spans="1:18" x14ac:dyDescent="0.2">
      <c r="A45" s="431">
        <v>41</v>
      </c>
      <c r="B45" s="434" t="s">
        <v>1087</v>
      </c>
      <c r="C45" s="431">
        <v>23</v>
      </c>
      <c r="D45" s="431">
        <v>585</v>
      </c>
      <c r="E45" s="433" t="s">
        <v>730</v>
      </c>
      <c r="F45" s="433" t="s">
        <v>1088</v>
      </c>
      <c r="G45" s="433" t="s">
        <v>1089</v>
      </c>
      <c r="H45" s="433" t="s">
        <v>658</v>
      </c>
      <c r="I45" s="433" t="s">
        <v>1090</v>
      </c>
      <c r="J45" s="433" t="s">
        <v>667</v>
      </c>
      <c r="K45" s="433" t="s">
        <v>1091</v>
      </c>
      <c r="L45" s="433" t="s">
        <v>1092</v>
      </c>
      <c r="M45" s="433" t="s">
        <v>1093</v>
      </c>
      <c r="N45" s="433" t="s">
        <v>1094</v>
      </c>
      <c r="O45" s="433" t="s">
        <v>1095</v>
      </c>
      <c r="P45" s="433" t="s">
        <v>1096</v>
      </c>
      <c r="Q45" s="433" t="s">
        <v>1097</v>
      </c>
      <c r="R45" s="433" t="s">
        <v>1098</v>
      </c>
    </row>
    <row r="46" spans="1:18" x14ac:dyDescent="0.2">
      <c r="A46" s="431">
        <v>42</v>
      </c>
      <c r="B46" s="434" t="s">
        <v>1099</v>
      </c>
      <c r="C46" s="431">
        <v>22</v>
      </c>
      <c r="D46" s="431">
        <v>660</v>
      </c>
      <c r="E46" s="433" t="s">
        <v>826</v>
      </c>
      <c r="F46" s="433" t="s">
        <v>1100</v>
      </c>
      <c r="G46" s="433" t="s">
        <v>789</v>
      </c>
      <c r="H46" s="433" t="s">
        <v>1101</v>
      </c>
      <c r="I46" s="433" t="s">
        <v>815</v>
      </c>
      <c r="J46" s="433" t="s">
        <v>1102</v>
      </c>
      <c r="K46" s="433" t="s">
        <v>1103</v>
      </c>
      <c r="L46" s="433" t="s">
        <v>670</v>
      </c>
      <c r="M46" s="433" t="s">
        <v>967</v>
      </c>
      <c r="N46" s="433" t="s">
        <v>1104</v>
      </c>
      <c r="O46" s="433" t="s">
        <v>1105</v>
      </c>
      <c r="P46" s="433" t="s">
        <v>957</v>
      </c>
      <c r="Q46" s="433" t="s">
        <v>1106</v>
      </c>
      <c r="R46" s="433" t="s">
        <v>875</v>
      </c>
    </row>
    <row r="47" spans="1:18" x14ac:dyDescent="0.2">
      <c r="A47" s="431">
        <v>43</v>
      </c>
      <c r="B47" s="434" t="s">
        <v>1107</v>
      </c>
      <c r="C47" s="431">
        <v>20</v>
      </c>
      <c r="D47" s="431">
        <v>600</v>
      </c>
      <c r="E47" s="433" t="s">
        <v>809</v>
      </c>
      <c r="F47" s="433" t="s">
        <v>1108</v>
      </c>
      <c r="G47" s="433" t="s">
        <v>1109</v>
      </c>
      <c r="H47" s="433" t="s">
        <v>1110</v>
      </c>
      <c r="I47" s="433" t="s">
        <v>880</v>
      </c>
      <c r="J47" s="433" t="s">
        <v>733</v>
      </c>
      <c r="K47" s="433" t="s">
        <v>790</v>
      </c>
      <c r="L47" s="433" t="s">
        <v>1111</v>
      </c>
      <c r="M47" s="433" t="s">
        <v>742</v>
      </c>
      <c r="N47" s="433" t="s">
        <v>1112</v>
      </c>
      <c r="O47" s="433" t="s">
        <v>1113</v>
      </c>
      <c r="P47" s="433" t="s">
        <v>1114</v>
      </c>
      <c r="Q47" s="433" t="s">
        <v>1115</v>
      </c>
      <c r="R47" s="433" t="s">
        <v>933</v>
      </c>
    </row>
    <row r="48" spans="1:18" x14ac:dyDescent="0.2">
      <c r="A48" s="431">
        <v>44</v>
      </c>
      <c r="B48" s="434" t="s">
        <v>1116</v>
      </c>
      <c r="C48" s="431">
        <v>20</v>
      </c>
      <c r="D48" s="431">
        <v>600</v>
      </c>
      <c r="E48" s="433" t="s">
        <v>718</v>
      </c>
      <c r="F48" s="433" t="s">
        <v>1117</v>
      </c>
      <c r="G48" s="433" t="s">
        <v>1118</v>
      </c>
      <c r="H48" s="433" t="s">
        <v>1101</v>
      </c>
      <c r="I48" s="433" t="s">
        <v>811</v>
      </c>
      <c r="J48" s="433" t="s">
        <v>875</v>
      </c>
      <c r="K48" s="433" t="s">
        <v>1119</v>
      </c>
      <c r="L48" s="433" t="s">
        <v>813</v>
      </c>
      <c r="M48" s="433" t="s">
        <v>665</v>
      </c>
      <c r="N48" s="433" t="s">
        <v>1120</v>
      </c>
      <c r="O48" s="433" t="s">
        <v>1121</v>
      </c>
      <c r="P48" s="433" t="s">
        <v>1057</v>
      </c>
      <c r="Q48" s="433" t="s">
        <v>1122</v>
      </c>
      <c r="R48" s="433" t="s">
        <v>931</v>
      </c>
    </row>
    <row r="49" spans="1:18" x14ac:dyDescent="0.2">
      <c r="A49" s="431">
        <v>45</v>
      </c>
      <c r="B49" s="434" t="s">
        <v>1123</v>
      </c>
      <c r="C49" s="431">
        <v>25</v>
      </c>
      <c r="D49" s="431">
        <v>750</v>
      </c>
      <c r="E49" s="433" t="s">
        <v>813</v>
      </c>
      <c r="F49" s="433" t="s">
        <v>1114</v>
      </c>
      <c r="G49" s="433" t="s">
        <v>1124</v>
      </c>
      <c r="H49" s="433" t="s">
        <v>848</v>
      </c>
      <c r="I49" s="433" t="s">
        <v>1125</v>
      </c>
      <c r="J49" s="433" t="s">
        <v>1126</v>
      </c>
      <c r="K49" s="433" t="s">
        <v>1127</v>
      </c>
      <c r="L49" s="433" t="s">
        <v>652</v>
      </c>
      <c r="M49" s="433" t="s">
        <v>1128</v>
      </c>
      <c r="N49" s="433" t="s">
        <v>1129</v>
      </c>
      <c r="O49" s="433" t="s">
        <v>1130</v>
      </c>
      <c r="P49" s="433" t="s">
        <v>721</v>
      </c>
      <c r="Q49" s="433" t="s">
        <v>1131</v>
      </c>
      <c r="R49" s="433" t="s">
        <v>1132</v>
      </c>
    </row>
    <row r="50" spans="1:18" x14ac:dyDescent="0.2">
      <c r="A50" s="431">
        <v>46</v>
      </c>
      <c r="B50" s="434" t="s">
        <v>1133</v>
      </c>
      <c r="C50" s="431">
        <v>20</v>
      </c>
      <c r="D50" s="431">
        <v>600</v>
      </c>
      <c r="E50" s="433" t="s">
        <v>667</v>
      </c>
      <c r="F50" s="433" t="s">
        <v>1134</v>
      </c>
      <c r="G50" s="433" t="s">
        <v>1135</v>
      </c>
      <c r="H50" s="433" t="s">
        <v>707</v>
      </c>
      <c r="I50" s="433" t="s">
        <v>1136</v>
      </c>
      <c r="J50" s="433" t="s">
        <v>1137</v>
      </c>
      <c r="K50" s="433" t="s">
        <v>697</v>
      </c>
      <c r="L50" s="433" t="s">
        <v>698</v>
      </c>
      <c r="M50" s="433" t="s">
        <v>760</v>
      </c>
      <c r="N50" s="433" t="s">
        <v>1138</v>
      </c>
      <c r="O50" s="433" t="s">
        <v>1139</v>
      </c>
      <c r="P50" s="433" t="s">
        <v>789</v>
      </c>
      <c r="Q50" s="433" t="s">
        <v>881</v>
      </c>
      <c r="R50" s="433" t="s">
        <v>1017</v>
      </c>
    </row>
    <row r="51" spans="1:18" x14ac:dyDescent="0.2">
      <c r="A51" s="431">
        <v>47</v>
      </c>
      <c r="B51" s="434" t="s">
        <v>1140</v>
      </c>
      <c r="C51" s="431">
        <v>24</v>
      </c>
      <c r="D51" s="431">
        <v>700</v>
      </c>
      <c r="E51" s="433" t="s">
        <v>718</v>
      </c>
      <c r="F51" s="433" t="s">
        <v>1109</v>
      </c>
      <c r="G51" s="433" t="s">
        <v>1141</v>
      </c>
      <c r="H51" s="433" t="s">
        <v>1142</v>
      </c>
      <c r="I51" s="433" t="s">
        <v>1143</v>
      </c>
      <c r="J51" s="433" t="s">
        <v>801</v>
      </c>
      <c r="K51" s="433" t="s">
        <v>862</v>
      </c>
      <c r="L51" s="433" t="s">
        <v>826</v>
      </c>
      <c r="M51" s="433" t="s">
        <v>722</v>
      </c>
      <c r="N51" s="433" t="s">
        <v>1144</v>
      </c>
      <c r="O51" s="433" t="s">
        <v>1145</v>
      </c>
      <c r="P51" s="433" t="s">
        <v>1119</v>
      </c>
      <c r="Q51" s="433" t="s">
        <v>1146</v>
      </c>
      <c r="R51" s="433" t="s">
        <v>1147</v>
      </c>
    </row>
    <row r="52" spans="1:18" x14ac:dyDescent="0.2">
      <c r="A52" s="431">
        <v>48</v>
      </c>
      <c r="B52" s="434" t="s">
        <v>1148</v>
      </c>
      <c r="C52" s="431">
        <v>30</v>
      </c>
      <c r="D52" s="431">
        <v>750</v>
      </c>
      <c r="E52" s="433" t="s">
        <v>809</v>
      </c>
      <c r="F52" s="433" t="s">
        <v>1149</v>
      </c>
      <c r="G52" s="433" t="s">
        <v>1150</v>
      </c>
      <c r="H52" s="433" t="s">
        <v>1151</v>
      </c>
      <c r="I52" s="433" t="s">
        <v>901</v>
      </c>
      <c r="J52" s="433" t="s">
        <v>699</v>
      </c>
      <c r="K52" s="433" t="s">
        <v>949</v>
      </c>
      <c r="L52" s="433" t="s">
        <v>682</v>
      </c>
      <c r="M52" s="433" t="s">
        <v>1152</v>
      </c>
      <c r="N52" s="433" t="s">
        <v>1153</v>
      </c>
      <c r="O52" s="433" t="s">
        <v>1154</v>
      </c>
      <c r="P52" s="433" t="s">
        <v>1155</v>
      </c>
      <c r="Q52" s="433" t="s">
        <v>1156</v>
      </c>
      <c r="R52" s="433" t="s">
        <v>1143</v>
      </c>
    </row>
    <row r="53" spans="1:18" x14ac:dyDescent="0.2">
      <c r="A53" s="431">
        <v>49</v>
      </c>
      <c r="B53" s="434" t="s">
        <v>1157</v>
      </c>
      <c r="C53" s="431">
        <v>30</v>
      </c>
      <c r="D53" s="431">
        <v>750</v>
      </c>
      <c r="E53" s="433" t="s">
        <v>756</v>
      </c>
      <c r="F53" s="433" t="s">
        <v>1158</v>
      </c>
      <c r="G53" s="433" t="s">
        <v>1159</v>
      </c>
      <c r="H53" s="433" t="s">
        <v>847</v>
      </c>
      <c r="I53" s="433" t="s">
        <v>723</v>
      </c>
      <c r="J53" s="433" t="s">
        <v>1160</v>
      </c>
      <c r="K53" s="433" t="s">
        <v>951</v>
      </c>
      <c r="L53" s="433" t="s">
        <v>698</v>
      </c>
      <c r="M53" s="433" t="s">
        <v>868</v>
      </c>
      <c r="N53" s="433" t="s">
        <v>1161</v>
      </c>
      <c r="O53" s="433" t="s">
        <v>1162</v>
      </c>
      <c r="P53" s="433" t="s">
        <v>1163</v>
      </c>
      <c r="Q53" s="433" t="s">
        <v>1164</v>
      </c>
      <c r="R53" s="433" t="s">
        <v>1165</v>
      </c>
    </row>
    <row r="54" spans="1:18" x14ac:dyDescent="0.2">
      <c r="A54" s="431">
        <v>50</v>
      </c>
      <c r="B54" s="434" t="s">
        <v>1166</v>
      </c>
      <c r="C54" s="431">
        <v>25</v>
      </c>
      <c r="D54" s="431">
        <v>750</v>
      </c>
      <c r="E54" s="433" t="s">
        <v>676</v>
      </c>
      <c r="F54" s="433" t="s">
        <v>1070</v>
      </c>
      <c r="G54" s="433" t="s">
        <v>1167</v>
      </c>
      <c r="H54" s="433" t="s">
        <v>723</v>
      </c>
      <c r="I54" s="433" t="s">
        <v>901</v>
      </c>
      <c r="J54" s="433" t="s">
        <v>1168</v>
      </c>
      <c r="K54" s="433" t="s">
        <v>824</v>
      </c>
      <c r="L54" s="433" t="s">
        <v>730</v>
      </c>
      <c r="M54" s="433" t="s">
        <v>1169</v>
      </c>
      <c r="N54" s="433" t="s">
        <v>1170</v>
      </c>
      <c r="O54" s="433" t="s">
        <v>1171</v>
      </c>
      <c r="P54" s="433" t="s">
        <v>1172</v>
      </c>
      <c r="Q54" s="433" t="s">
        <v>1173</v>
      </c>
      <c r="R54" s="433" t="s">
        <v>763</v>
      </c>
    </row>
    <row r="55" spans="1:18" x14ac:dyDescent="0.2">
      <c r="A55" s="431">
        <v>51</v>
      </c>
      <c r="B55" s="434" t="s">
        <v>1174</v>
      </c>
      <c r="C55" s="431">
        <v>25</v>
      </c>
      <c r="D55" s="431">
        <v>625</v>
      </c>
      <c r="E55" s="433" t="s">
        <v>730</v>
      </c>
      <c r="F55" s="433" t="s">
        <v>1159</v>
      </c>
      <c r="G55" s="433" t="s">
        <v>1063</v>
      </c>
      <c r="H55" s="433" t="s">
        <v>1110</v>
      </c>
      <c r="I55" s="433" t="s">
        <v>1175</v>
      </c>
      <c r="J55" s="433" t="s">
        <v>1176</v>
      </c>
      <c r="K55" s="433" t="s">
        <v>1177</v>
      </c>
      <c r="L55" s="433" t="s">
        <v>659</v>
      </c>
      <c r="M55" s="433" t="s">
        <v>1178</v>
      </c>
      <c r="N55" s="433" t="s">
        <v>1179</v>
      </c>
      <c r="O55" s="433" t="s">
        <v>1180</v>
      </c>
      <c r="P55" s="433" t="s">
        <v>771</v>
      </c>
      <c r="Q55" s="433" t="s">
        <v>1181</v>
      </c>
      <c r="R55" s="433" t="s">
        <v>1182</v>
      </c>
    </row>
    <row r="56" spans="1:18" s="400" customFormat="1" ht="15" x14ac:dyDescent="0.2">
      <c r="A56" s="435"/>
      <c r="B56" s="435" t="s">
        <v>0</v>
      </c>
      <c r="C56" s="436">
        <f t="shared" ref="C56:D56" si="0">SUM(C5:C55)</f>
        <v>1248</v>
      </c>
      <c r="D56" s="436">
        <f t="shared" si="0"/>
        <v>35500</v>
      </c>
      <c r="E56" s="437" t="s">
        <v>1183</v>
      </c>
      <c r="F56" s="437" t="s">
        <v>1184</v>
      </c>
      <c r="G56" s="437" t="s">
        <v>1185</v>
      </c>
      <c r="H56" s="437" t="s">
        <v>1186</v>
      </c>
      <c r="I56" s="437" t="s">
        <v>1187</v>
      </c>
      <c r="J56" s="437" t="s">
        <v>1188</v>
      </c>
      <c r="K56" s="437" t="s">
        <v>1189</v>
      </c>
      <c r="L56" s="437" t="s">
        <v>1190</v>
      </c>
      <c r="M56" s="437" t="s">
        <v>1191</v>
      </c>
      <c r="N56" s="437" t="s">
        <v>1192</v>
      </c>
      <c r="O56" s="437" t="s">
        <v>1193</v>
      </c>
      <c r="P56" s="437" t="s">
        <v>1194</v>
      </c>
      <c r="Q56" s="437" t="s">
        <v>1195</v>
      </c>
      <c r="R56" s="437" t="s">
        <v>1196</v>
      </c>
    </row>
    <row r="57" spans="1:18" ht="15" x14ac:dyDescent="0.2">
      <c r="D57" s="422" t="s">
        <v>1244</v>
      </c>
    </row>
  </sheetData>
  <mergeCells count="5">
    <mergeCell ref="C3:D3"/>
    <mergeCell ref="E3:L3"/>
    <mergeCell ref="M3:R3"/>
    <mergeCell ref="A1:R1"/>
    <mergeCell ref="N2:O2"/>
  </mergeCells>
  <pageMargins left="0.7" right="0.7" top="0.25" bottom="0.25" header="0.3" footer="0.3"/>
  <pageSetup paperSize="9" scale="66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view="pageBreakPreview" zoomScale="60"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M57" sqref="M57"/>
    </sheetView>
  </sheetViews>
  <sheetFormatPr defaultRowHeight="15" x14ac:dyDescent="0.25"/>
  <cols>
    <col min="1" max="1" width="6.5703125" style="439" bestFit="1" customWidth="1"/>
    <col min="2" max="2" width="36.7109375" style="439" customWidth="1"/>
    <col min="3" max="8" width="10.28515625" style="439" customWidth="1"/>
    <col min="9" max="9" width="0" style="439" hidden="1" customWidth="1"/>
    <col min="10" max="10" width="15" style="439" customWidth="1"/>
    <col min="11" max="16384" width="9.140625" style="439"/>
  </cols>
  <sheetData>
    <row r="1" spans="1:8" ht="15.75" x14ac:dyDescent="0.25">
      <c r="A1" s="618" t="s">
        <v>1245</v>
      </c>
      <c r="B1" s="618"/>
      <c r="C1" s="618"/>
      <c r="D1" s="618"/>
      <c r="E1" s="618"/>
      <c r="F1" s="618"/>
      <c r="G1" s="618"/>
      <c r="H1" s="618"/>
    </row>
    <row r="2" spans="1:8" ht="89.25" x14ac:dyDescent="0.25">
      <c r="A2" s="401" t="s">
        <v>604</v>
      </c>
      <c r="B2" s="402" t="s">
        <v>605</v>
      </c>
      <c r="C2" s="403" t="s">
        <v>1199</v>
      </c>
      <c r="D2" s="403" t="s">
        <v>1200</v>
      </c>
      <c r="E2" s="403" t="s">
        <v>1201</v>
      </c>
      <c r="F2" s="403" t="s">
        <v>1202</v>
      </c>
      <c r="G2" s="403" t="s">
        <v>1203</v>
      </c>
      <c r="H2" s="403" t="s">
        <v>1204</v>
      </c>
    </row>
    <row r="3" spans="1:8" x14ac:dyDescent="0.25">
      <c r="A3" s="404">
        <v>1</v>
      </c>
      <c r="B3" s="405" t="s">
        <v>55</v>
      </c>
      <c r="C3" s="406">
        <v>507666</v>
      </c>
      <c r="D3" s="406">
        <v>65823</v>
      </c>
      <c r="E3" s="406">
        <v>62.77</v>
      </c>
      <c r="F3" s="406">
        <v>404232</v>
      </c>
      <c r="G3" s="406">
        <v>258472</v>
      </c>
      <c r="H3" s="406">
        <v>85105</v>
      </c>
    </row>
    <row r="4" spans="1:8" x14ac:dyDescent="0.25">
      <c r="A4" s="404">
        <v>2</v>
      </c>
      <c r="B4" s="405" t="s">
        <v>56</v>
      </c>
      <c r="C4" s="406">
        <v>18648</v>
      </c>
      <c r="D4" s="406">
        <v>416</v>
      </c>
      <c r="E4" s="406">
        <v>2.39</v>
      </c>
      <c r="F4" s="406">
        <v>15712</v>
      </c>
      <c r="G4" s="406">
        <v>16052</v>
      </c>
      <c r="H4" s="406">
        <v>4721</v>
      </c>
    </row>
    <row r="5" spans="1:8" x14ac:dyDescent="0.25">
      <c r="A5" s="404">
        <v>3</v>
      </c>
      <c r="B5" s="405" t="s">
        <v>57</v>
      </c>
      <c r="C5" s="406">
        <v>687392</v>
      </c>
      <c r="D5" s="406">
        <v>24327</v>
      </c>
      <c r="E5" s="406">
        <v>25.24</v>
      </c>
      <c r="F5" s="406">
        <v>292964</v>
      </c>
      <c r="G5" s="406">
        <v>456048</v>
      </c>
      <c r="H5" s="406">
        <v>150307</v>
      </c>
    </row>
    <row r="6" spans="1:8" x14ac:dyDescent="0.25">
      <c r="A6" s="404">
        <v>4</v>
      </c>
      <c r="B6" s="405" t="s">
        <v>58</v>
      </c>
      <c r="C6" s="406">
        <v>2828763</v>
      </c>
      <c r="D6" s="406">
        <v>326825</v>
      </c>
      <c r="E6" s="406">
        <v>367.62</v>
      </c>
      <c r="F6" s="406">
        <v>2572769</v>
      </c>
      <c r="G6" s="406">
        <v>1585837</v>
      </c>
      <c r="H6" s="406">
        <v>526225</v>
      </c>
    </row>
    <row r="7" spans="1:8" x14ac:dyDescent="0.25">
      <c r="A7" s="404">
        <v>5</v>
      </c>
      <c r="B7" s="405" t="s">
        <v>59</v>
      </c>
      <c r="C7" s="406">
        <v>430487</v>
      </c>
      <c r="D7" s="406">
        <v>68350</v>
      </c>
      <c r="E7" s="406">
        <v>83.41</v>
      </c>
      <c r="F7" s="406">
        <v>254828</v>
      </c>
      <c r="G7" s="406">
        <v>313895</v>
      </c>
      <c r="H7" s="406">
        <v>163173</v>
      </c>
    </row>
    <row r="8" spans="1:8" x14ac:dyDescent="0.25">
      <c r="A8" s="404">
        <v>6</v>
      </c>
      <c r="B8" s="405" t="s">
        <v>242</v>
      </c>
      <c r="C8" s="406">
        <v>3738</v>
      </c>
      <c r="D8" s="406">
        <v>0</v>
      </c>
      <c r="E8" s="406">
        <v>1.71</v>
      </c>
      <c r="F8" s="406">
        <v>3737</v>
      </c>
      <c r="G8" s="406">
        <v>2711</v>
      </c>
      <c r="H8" s="406">
        <v>472</v>
      </c>
    </row>
    <row r="9" spans="1:8" x14ac:dyDescent="0.25">
      <c r="A9" s="404">
        <v>7</v>
      </c>
      <c r="B9" s="405" t="s">
        <v>60</v>
      </c>
      <c r="C9" s="406">
        <v>176432</v>
      </c>
      <c r="D9" s="406">
        <v>11942</v>
      </c>
      <c r="E9" s="406">
        <v>58.76</v>
      </c>
      <c r="F9" s="406">
        <v>122198</v>
      </c>
      <c r="G9" s="406">
        <v>116621</v>
      </c>
      <c r="H9" s="406">
        <v>27922</v>
      </c>
    </row>
    <row r="10" spans="1:8" x14ac:dyDescent="0.25">
      <c r="A10" s="404">
        <v>8</v>
      </c>
      <c r="B10" s="405" t="s">
        <v>61</v>
      </c>
      <c r="C10" s="406">
        <v>1430847</v>
      </c>
      <c r="D10" s="406">
        <v>29542</v>
      </c>
      <c r="E10" s="406">
        <v>228</v>
      </c>
      <c r="F10" s="406">
        <v>1097816</v>
      </c>
      <c r="G10" s="406">
        <v>839338</v>
      </c>
      <c r="H10" s="406">
        <v>128225</v>
      </c>
    </row>
    <row r="11" spans="1:8" x14ac:dyDescent="0.25">
      <c r="A11" s="404">
        <v>9</v>
      </c>
      <c r="B11" s="405" t="s">
        <v>48</v>
      </c>
      <c r="C11" s="406">
        <v>91931</v>
      </c>
      <c r="D11" s="406">
        <v>0</v>
      </c>
      <c r="E11" s="406">
        <v>24.01</v>
      </c>
      <c r="F11" s="406">
        <v>47581</v>
      </c>
      <c r="G11" s="406">
        <v>63199</v>
      </c>
      <c r="H11" s="406">
        <v>5210</v>
      </c>
    </row>
    <row r="12" spans="1:8" x14ac:dyDescent="0.25">
      <c r="A12" s="404">
        <v>10</v>
      </c>
      <c r="B12" s="405" t="s">
        <v>49</v>
      </c>
      <c r="C12" s="406">
        <v>112893</v>
      </c>
      <c r="D12" s="406">
        <v>2761</v>
      </c>
      <c r="E12" s="406">
        <v>21.07</v>
      </c>
      <c r="F12" s="406">
        <v>78863</v>
      </c>
      <c r="G12" s="406">
        <v>81038</v>
      </c>
      <c r="H12" s="406">
        <v>29312</v>
      </c>
    </row>
    <row r="13" spans="1:8" x14ac:dyDescent="0.25">
      <c r="A13" s="404">
        <v>11</v>
      </c>
      <c r="B13" s="405" t="s">
        <v>81</v>
      </c>
      <c r="C13" s="406">
        <v>55026</v>
      </c>
      <c r="D13" s="406">
        <v>0</v>
      </c>
      <c r="E13" s="406">
        <v>10.69</v>
      </c>
      <c r="F13" s="406">
        <v>42615</v>
      </c>
      <c r="G13" s="406">
        <v>24139</v>
      </c>
      <c r="H13" s="406">
        <v>24526</v>
      </c>
    </row>
    <row r="14" spans="1:8" x14ac:dyDescent="0.25">
      <c r="A14" s="404">
        <v>12</v>
      </c>
      <c r="B14" s="405" t="s">
        <v>62</v>
      </c>
      <c r="C14" s="406">
        <v>38355</v>
      </c>
      <c r="D14" s="406">
        <v>0</v>
      </c>
      <c r="E14" s="406">
        <v>6.02</v>
      </c>
      <c r="F14" s="406">
        <v>37978</v>
      </c>
      <c r="G14" s="406">
        <v>28141</v>
      </c>
      <c r="H14" s="406">
        <v>12266</v>
      </c>
    </row>
    <row r="15" spans="1:8" x14ac:dyDescent="0.25">
      <c r="A15" s="404">
        <v>13</v>
      </c>
      <c r="B15" s="405" t="s">
        <v>63</v>
      </c>
      <c r="C15" s="406">
        <v>60867</v>
      </c>
      <c r="D15" s="406">
        <v>0</v>
      </c>
      <c r="E15" s="406">
        <v>14.65</v>
      </c>
      <c r="F15" s="406">
        <v>60866</v>
      </c>
      <c r="G15" s="406">
        <v>29136</v>
      </c>
      <c r="H15" s="406">
        <v>17976</v>
      </c>
    </row>
    <row r="16" spans="1:8" x14ac:dyDescent="0.25">
      <c r="A16" s="404">
        <v>14</v>
      </c>
      <c r="B16" s="405" t="s">
        <v>207</v>
      </c>
      <c r="C16" s="406">
        <v>131220</v>
      </c>
      <c r="D16" s="406">
        <v>5912</v>
      </c>
      <c r="E16" s="406">
        <v>0</v>
      </c>
      <c r="F16" s="406">
        <v>125686</v>
      </c>
      <c r="G16" s="406">
        <v>77350</v>
      </c>
      <c r="H16" s="406">
        <v>18978</v>
      </c>
    </row>
    <row r="17" spans="1:8" x14ac:dyDescent="0.25">
      <c r="A17" s="404">
        <v>15</v>
      </c>
      <c r="B17" s="405" t="s">
        <v>208</v>
      </c>
      <c r="C17" s="406">
        <v>39958</v>
      </c>
      <c r="D17" s="406">
        <v>2052</v>
      </c>
      <c r="E17" s="406">
        <v>17.16</v>
      </c>
      <c r="F17" s="406">
        <v>34693</v>
      </c>
      <c r="G17" s="406">
        <v>30223</v>
      </c>
      <c r="H17" s="406">
        <v>158</v>
      </c>
    </row>
    <row r="18" spans="1:8" x14ac:dyDescent="0.25">
      <c r="A18" s="404">
        <v>16</v>
      </c>
      <c r="B18" s="405" t="s">
        <v>64</v>
      </c>
      <c r="C18" s="406">
        <v>1027053</v>
      </c>
      <c r="D18" s="406">
        <v>55907</v>
      </c>
      <c r="E18" s="406">
        <v>133.05000000000001</v>
      </c>
      <c r="F18" s="406">
        <v>992233</v>
      </c>
      <c r="G18" s="406">
        <v>584961</v>
      </c>
      <c r="H18" s="406">
        <v>59649</v>
      </c>
    </row>
    <row r="19" spans="1:8" x14ac:dyDescent="0.25">
      <c r="A19" s="404">
        <v>17</v>
      </c>
      <c r="B19" s="405" t="s">
        <v>65</v>
      </c>
      <c r="C19" s="406">
        <v>95604</v>
      </c>
      <c r="D19" s="406">
        <v>14291</v>
      </c>
      <c r="E19" s="406">
        <v>6.88</v>
      </c>
      <c r="F19" s="406">
        <v>79302</v>
      </c>
      <c r="G19" s="406">
        <v>68304</v>
      </c>
      <c r="H19" s="406">
        <v>21991</v>
      </c>
    </row>
    <row r="20" spans="1:8" x14ac:dyDescent="0.25">
      <c r="A20" s="404">
        <v>18</v>
      </c>
      <c r="B20" s="405" t="s">
        <v>213</v>
      </c>
      <c r="C20" s="406">
        <v>622512</v>
      </c>
      <c r="D20" s="406">
        <v>47501</v>
      </c>
      <c r="E20" s="406">
        <v>130.44999999999999</v>
      </c>
      <c r="F20" s="406">
        <v>338928</v>
      </c>
      <c r="G20" s="406">
        <v>252891</v>
      </c>
      <c r="H20" s="406">
        <v>3711</v>
      </c>
    </row>
    <row r="21" spans="1:8" x14ac:dyDescent="0.25">
      <c r="A21" s="404">
        <v>19</v>
      </c>
      <c r="B21" s="405" t="s">
        <v>66</v>
      </c>
      <c r="C21" s="406">
        <v>726778</v>
      </c>
      <c r="D21" s="406">
        <v>96701</v>
      </c>
      <c r="E21" s="406">
        <v>141.84</v>
      </c>
      <c r="F21" s="406">
        <v>646798</v>
      </c>
      <c r="G21" s="406">
        <v>380721</v>
      </c>
      <c r="H21" s="406">
        <v>121169</v>
      </c>
    </row>
    <row r="22" spans="1:8" x14ac:dyDescent="0.25">
      <c r="A22" s="404">
        <v>20</v>
      </c>
      <c r="B22" s="405" t="s">
        <v>67</v>
      </c>
      <c r="C22" s="406">
        <v>0</v>
      </c>
      <c r="D22" s="406">
        <v>0</v>
      </c>
      <c r="E22" s="406">
        <v>0</v>
      </c>
      <c r="F22" s="406">
        <v>0</v>
      </c>
      <c r="G22" s="406">
        <v>0</v>
      </c>
      <c r="H22" s="406">
        <v>0</v>
      </c>
    </row>
    <row r="23" spans="1:8" x14ac:dyDescent="0.25">
      <c r="A23" s="404">
        <v>21</v>
      </c>
      <c r="B23" s="405" t="s">
        <v>50</v>
      </c>
      <c r="C23" s="406">
        <v>45153</v>
      </c>
      <c r="D23" s="406">
        <v>1627</v>
      </c>
      <c r="E23" s="406">
        <v>5.52</v>
      </c>
      <c r="F23" s="406">
        <v>37286</v>
      </c>
      <c r="G23" s="406">
        <v>36323</v>
      </c>
      <c r="H23" s="406">
        <v>1764</v>
      </c>
    </row>
    <row r="24" spans="1:8" x14ac:dyDescent="0.25">
      <c r="A24" s="404">
        <v>22</v>
      </c>
      <c r="B24" s="407" t="s">
        <v>607</v>
      </c>
      <c r="C24" s="407">
        <f t="shared" ref="C24:H24" si="0">SUM(C3:C23)</f>
        <v>9131323</v>
      </c>
      <c r="D24" s="407">
        <f t="shared" si="0"/>
        <v>753977</v>
      </c>
      <c r="E24" s="408">
        <f t="shared" si="0"/>
        <v>1341.24</v>
      </c>
      <c r="F24" s="407">
        <f t="shared" si="0"/>
        <v>7287085</v>
      </c>
      <c r="G24" s="407">
        <f t="shared" si="0"/>
        <v>5245400</v>
      </c>
      <c r="H24" s="408">
        <f t="shared" si="0"/>
        <v>1402860</v>
      </c>
    </row>
    <row r="25" spans="1:8" x14ac:dyDescent="0.25">
      <c r="A25" s="404">
        <v>23</v>
      </c>
      <c r="B25" s="405" t="s">
        <v>69</v>
      </c>
      <c r="C25" s="406">
        <v>1991</v>
      </c>
      <c r="D25" s="406">
        <v>275</v>
      </c>
      <c r="E25" s="406">
        <v>0.04</v>
      </c>
      <c r="F25" s="406">
        <v>1978</v>
      </c>
      <c r="G25" s="406">
        <v>1245</v>
      </c>
      <c r="H25" s="406">
        <v>802</v>
      </c>
    </row>
    <row r="26" spans="1:8" x14ac:dyDescent="0.25">
      <c r="A26" s="404">
        <v>24</v>
      </c>
      <c r="B26" s="405" t="s">
        <v>209</v>
      </c>
      <c r="C26" s="406">
        <v>0</v>
      </c>
      <c r="D26" s="406">
        <v>0</v>
      </c>
      <c r="E26" s="406">
        <v>0</v>
      </c>
      <c r="F26" s="406">
        <v>0</v>
      </c>
      <c r="G26" s="406">
        <v>0</v>
      </c>
      <c r="H26" s="406">
        <v>0</v>
      </c>
    </row>
    <row r="27" spans="1:8" x14ac:dyDescent="0.25">
      <c r="A27" s="404">
        <v>25</v>
      </c>
      <c r="B27" s="405" t="s">
        <v>210</v>
      </c>
      <c r="C27" s="406">
        <v>2000</v>
      </c>
      <c r="D27" s="406">
        <v>0</v>
      </c>
      <c r="E27" s="406">
        <v>0.1</v>
      </c>
      <c r="F27" s="406">
        <v>1500</v>
      </c>
      <c r="G27" s="406">
        <v>1500</v>
      </c>
      <c r="H27" s="406">
        <v>500</v>
      </c>
    </row>
    <row r="28" spans="1:8" x14ac:dyDescent="0.25">
      <c r="A28" s="404">
        <v>26</v>
      </c>
      <c r="B28" s="405" t="s">
        <v>211</v>
      </c>
      <c r="C28" s="406">
        <v>1662</v>
      </c>
      <c r="D28" s="406">
        <v>69</v>
      </c>
      <c r="E28" s="406">
        <v>0</v>
      </c>
      <c r="F28" s="406">
        <v>1285</v>
      </c>
      <c r="G28" s="406">
        <v>0</v>
      </c>
      <c r="H28" s="406">
        <v>45</v>
      </c>
    </row>
    <row r="29" spans="1:8" x14ac:dyDescent="0.25">
      <c r="A29" s="404">
        <v>27</v>
      </c>
      <c r="B29" s="405" t="s">
        <v>608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</row>
    <row r="30" spans="1:8" x14ac:dyDescent="0.25">
      <c r="A30" s="404">
        <v>28</v>
      </c>
      <c r="B30" s="405" t="s">
        <v>70</v>
      </c>
      <c r="C30" s="406">
        <v>9915596</v>
      </c>
      <c r="D30" s="406">
        <v>1666106</v>
      </c>
      <c r="E30" s="406">
        <v>665.35</v>
      </c>
      <c r="F30" s="406">
        <v>6425434</v>
      </c>
      <c r="G30" s="406">
        <v>5592946</v>
      </c>
      <c r="H30" s="406">
        <v>3817782</v>
      </c>
    </row>
    <row r="31" spans="1:8" x14ac:dyDescent="0.25">
      <c r="A31" s="404">
        <v>29</v>
      </c>
      <c r="B31" s="407" t="s">
        <v>609</v>
      </c>
      <c r="C31" s="407">
        <f t="shared" ref="C31:H31" si="1">SUM(C25:C30)</f>
        <v>9921249</v>
      </c>
      <c r="D31" s="407">
        <f t="shared" si="1"/>
        <v>1666450</v>
      </c>
      <c r="E31" s="408">
        <f t="shared" si="1"/>
        <v>665.49</v>
      </c>
      <c r="F31" s="407">
        <f t="shared" si="1"/>
        <v>6430197</v>
      </c>
      <c r="G31" s="407">
        <f t="shared" si="1"/>
        <v>5595691</v>
      </c>
      <c r="H31" s="408">
        <f t="shared" si="1"/>
        <v>3819129</v>
      </c>
    </row>
    <row r="32" spans="1:8" x14ac:dyDescent="0.25">
      <c r="A32" s="404">
        <v>30</v>
      </c>
      <c r="B32" s="405" t="s">
        <v>47</v>
      </c>
      <c r="C32" s="406">
        <v>31676</v>
      </c>
      <c r="D32" s="406">
        <v>628</v>
      </c>
      <c r="E32" s="406">
        <v>10.99</v>
      </c>
      <c r="F32" s="406">
        <v>27263</v>
      </c>
      <c r="G32" s="406">
        <v>15059</v>
      </c>
      <c r="H32" s="406">
        <v>13874</v>
      </c>
    </row>
    <row r="33" spans="1:8" x14ac:dyDescent="0.25">
      <c r="A33" s="404">
        <v>31</v>
      </c>
      <c r="B33" s="405" t="s">
        <v>215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</row>
    <row r="34" spans="1:8" x14ac:dyDescent="0.25">
      <c r="A34" s="404">
        <v>32</v>
      </c>
      <c r="B34" s="405" t="s">
        <v>216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</row>
    <row r="35" spans="1:8" x14ac:dyDescent="0.25">
      <c r="A35" s="404">
        <v>33</v>
      </c>
      <c r="B35" s="405" t="s">
        <v>78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</row>
    <row r="36" spans="1:8" x14ac:dyDescent="0.25">
      <c r="A36" s="404">
        <v>34</v>
      </c>
      <c r="B36" s="405" t="s">
        <v>51</v>
      </c>
      <c r="C36" s="406">
        <v>324</v>
      </c>
      <c r="D36" s="406">
        <v>0</v>
      </c>
      <c r="E36" s="406">
        <v>0.02</v>
      </c>
      <c r="F36" s="406">
        <v>218</v>
      </c>
      <c r="G36" s="406">
        <v>231</v>
      </c>
      <c r="H36" s="406">
        <v>116</v>
      </c>
    </row>
    <row r="37" spans="1:8" x14ac:dyDescent="0.25">
      <c r="A37" s="404">
        <v>35</v>
      </c>
      <c r="B37" s="405" t="s">
        <v>217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</row>
    <row r="38" spans="1:8" x14ac:dyDescent="0.25">
      <c r="A38" s="404">
        <v>36</v>
      </c>
      <c r="B38" s="405" t="s">
        <v>218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</row>
    <row r="39" spans="1:8" x14ac:dyDescent="0.25">
      <c r="A39" s="404">
        <v>37</v>
      </c>
      <c r="B39" s="405" t="s">
        <v>219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</row>
    <row r="40" spans="1:8" x14ac:dyDescent="0.25">
      <c r="A40" s="404">
        <v>38</v>
      </c>
      <c r="B40" s="405" t="s">
        <v>71</v>
      </c>
      <c r="C40" s="406">
        <v>74043</v>
      </c>
      <c r="D40" s="406">
        <v>169</v>
      </c>
      <c r="E40" s="406">
        <v>11.82</v>
      </c>
      <c r="F40" s="406">
        <v>74029</v>
      </c>
      <c r="G40" s="406">
        <v>35925</v>
      </c>
      <c r="H40" s="406">
        <v>23977</v>
      </c>
    </row>
    <row r="41" spans="1:8" x14ac:dyDescent="0.25">
      <c r="A41" s="404">
        <v>39</v>
      </c>
      <c r="B41" s="405" t="s">
        <v>72</v>
      </c>
      <c r="C41" s="406">
        <v>196907</v>
      </c>
      <c r="D41" s="406">
        <v>0</v>
      </c>
      <c r="E41" s="406">
        <v>6.21</v>
      </c>
      <c r="F41" s="406">
        <v>196907</v>
      </c>
      <c r="G41" s="406">
        <v>110878</v>
      </c>
      <c r="H41" s="406">
        <v>122085</v>
      </c>
    </row>
    <row r="42" spans="1:8" x14ac:dyDescent="0.25">
      <c r="A42" s="404">
        <v>40</v>
      </c>
      <c r="B42" s="405" t="s">
        <v>220</v>
      </c>
      <c r="C42" s="406">
        <v>1811</v>
      </c>
      <c r="D42" s="406">
        <v>0</v>
      </c>
      <c r="E42" s="406">
        <v>0.13</v>
      </c>
      <c r="F42" s="406">
        <v>1761</v>
      </c>
      <c r="G42" s="406">
        <v>1721</v>
      </c>
      <c r="H42" s="406">
        <v>717</v>
      </c>
    </row>
    <row r="43" spans="1:8" x14ac:dyDescent="0.25">
      <c r="A43" s="404">
        <v>41</v>
      </c>
      <c r="B43" s="405" t="s">
        <v>221</v>
      </c>
      <c r="C43" s="406">
        <v>0</v>
      </c>
      <c r="D43" s="406">
        <v>0</v>
      </c>
      <c r="E43" s="406">
        <v>0</v>
      </c>
      <c r="F43" s="406">
        <v>0</v>
      </c>
      <c r="G43" s="406">
        <v>0</v>
      </c>
      <c r="H43" s="406">
        <v>0</v>
      </c>
    </row>
    <row r="44" spans="1:8" x14ac:dyDescent="0.25">
      <c r="A44" s="404">
        <v>42</v>
      </c>
      <c r="B44" s="405" t="s">
        <v>222</v>
      </c>
      <c r="C44" s="406">
        <v>0</v>
      </c>
      <c r="D44" s="406">
        <v>0</v>
      </c>
      <c r="E44" s="406">
        <v>0</v>
      </c>
      <c r="F44" s="406">
        <v>0</v>
      </c>
      <c r="G44" s="406">
        <v>0</v>
      </c>
      <c r="H44" s="406">
        <v>0</v>
      </c>
    </row>
    <row r="45" spans="1:8" x14ac:dyDescent="0.25">
      <c r="A45" s="404">
        <v>43</v>
      </c>
      <c r="B45" s="405" t="s">
        <v>223</v>
      </c>
      <c r="C45" s="406">
        <v>1691</v>
      </c>
      <c r="D45" s="406">
        <v>0</v>
      </c>
      <c r="E45" s="406">
        <v>0.02</v>
      </c>
      <c r="F45" s="406">
        <v>684</v>
      </c>
      <c r="G45" s="406">
        <v>6410</v>
      </c>
      <c r="H45" s="406">
        <v>0</v>
      </c>
    </row>
    <row r="46" spans="1:8" x14ac:dyDescent="0.25">
      <c r="A46" s="404">
        <v>44</v>
      </c>
      <c r="B46" s="405" t="s">
        <v>224</v>
      </c>
      <c r="C46" s="406">
        <v>0</v>
      </c>
      <c r="D46" s="406">
        <v>0</v>
      </c>
      <c r="E46" s="406">
        <v>0</v>
      </c>
      <c r="F46" s="406">
        <v>0</v>
      </c>
      <c r="G46" s="406">
        <v>0</v>
      </c>
      <c r="H46" s="406">
        <v>0</v>
      </c>
    </row>
    <row r="47" spans="1:8" x14ac:dyDescent="0.25">
      <c r="A47" s="404">
        <v>45</v>
      </c>
      <c r="B47" s="405" t="s">
        <v>73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</row>
    <row r="48" spans="1:8" x14ac:dyDescent="0.25">
      <c r="A48" s="404">
        <v>46</v>
      </c>
      <c r="B48" s="405" t="s">
        <v>225</v>
      </c>
      <c r="C48" s="406">
        <v>212</v>
      </c>
      <c r="D48" s="406">
        <v>0</v>
      </c>
      <c r="E48" s="406">
        <v>0.06</v>
      </c>
      <c r="F48" s="406">
        <v>185</v>
      </c>
      <c r="G48" s="406">
        <v>160</v>
      </c>
      <c r="H48" s="406">
        <v>80</v>
      </c>
    </row>
    <row r="49" spans="1:8" x14ac:dyDescent="0.25">
      <c r="A49" s="404">
        <v>47</v>
      </c>
      <c r="B49" s="405" t="s">
        <v>226</v>
      </c>
      <c r="C49" s="406">
        <v>18230</v>
      </c>
      <c r="D49" s="406">
        <v>0</v>
      </c>
      <c r="E49" s="406">
        <v>0.1</v>
      </c>
      <c r="F49" s="406">
        <v>18230</v>
      </c>
      <c r="G49" s="406">
        <v>8288</v>
      </c>
      <c r="H49" s="406">
        <v>17351</v>
      </c>
    </row>
    <row r="50" spans="1:8" x14ac:dyDescent="0.25">
      <c r="A50" s="404">
        <v>48</v>
      </c>
      <c r="B50" s="405" t="s">
        <v>227</v>
      </c>
      <c r="C50" s="406">
        <v>45</v>
      </c>
      <c r="D50" s="406">
        <v>5</v>
      </c>
      <c r="E50" s="406">
        <v>0.04</v>
      </c>
      <c r="F50" s="406">
        <v>1300</v>
      </c>
      <c r="G50" s="406">
        <v>6700</v>
      </c>
      <c r="H50" s="406">
        <v>30</v>
      </c>
    </row>
    <row r="51" spans="1:8" x14ac:dyDescent="0.25">
      <c r="A51" s="404">
        <v>49</v>
      </c>
      <c r="B51" s="405" t="s">
        <v>77</v>
      </c>
      <c r="C51" s="406">
        <v>0</v>
      </c>
      <c r="D51" s="406">
        <v>0</v>
      </c>
      <c r="E51" s="406">
        <v>0</v>
      </c>
      <c r="F51" s="406">
        <v>0</v>
      </c>
      <c r="G51" s="406">
        <v>0</v>
      </c>
      <c r="H51" s="406">
        <v>0</v>
      </c>
    </row>
    <row r="52" spans="1:8" x14ac:dyDescent="0.25">
      <c r="A52" s="404">
        <v>50</v>
      </c>
      <c r="B52" s="405" t="s">
        <v>228</v>
      </c>
      <c r="C52" s="406">
        <v>0</v>
      </c>
      <c r="D52" s="406">
        <v>0</v>
      </c>
      <c r="E52" s="406">
        <v>0</v>
      </c>
      <c r="F52" s="406">
        <v>0</v>
      </c>
      <c r="G52" s="406">
        <v>0</v>
      </c>
      <c r="H52" s="406">
        <v>0</v>
      </c>
    </row>
    <row r="53" spans="1:8" x14ac:dyDescent="0.25">
      <c r="A53" s="404">
        <v>51</v>
      </c>
      <c r="B53" s="405" t="s">
        <v>76</v>
      </c>
      <c r="C53" s="406">
        <v>0</v>
      </c>
      <c r="D53" s="406">
        <v>0</v>
      </c>
      <c r="E53" s="406">
        <v>0</v>
      </c>
      <c r="F53" s="406">
        <v>0</v>
      </c>
      <c r="G53" s="406">
        <v>0</v>
      </c>
      <c r="H53" s="406">
        <v>0</v>
      </c>
    </row>
    <row r="54" spans="1:8" x14ac:dyDescent="0.25">
      <c r="A54" s="404">
        <v>52</v>
      </c>
      <c r="B54" s="407" t="s">
        <v>610</v>
      </c>
      <c r="C54" s="407">
        <f t="shared" ref="C54:H54" si="2">SUM(C32:C53)</f>
        <v>324939</v>
      </c>
      <c r="D54" s="407">
        <f t="shared" si="2"/>
        <v>802</v>
      </c>
      <c r="E54" s="408">
        <f t="shared" si="2"/>
        <v>29.389999999999997</v>
      </c>
      <c r="F54" s="407">
        <f t="shared" si="2"/>
        <v>320577</v>
      </c>
      <c r="G54" s="407">
        <f t="shared" si="2"/>
        <v>185372</v>
      </c>
      <c r="H54" s="408">
        <f t="shared" si="2"/>
        <v>178230</v>
      </c>
    </row>
    <row r="55" spans="1:8" x14ac:dyDescent="0.25">
      <c r="A55" s="404">
        <v>53</v>
      </c>
      <c r="B55" s="405" t="s">
        <v>46</v>
      </c>
      <c r="C55" s="406">
        <v>977551</v>
      </c>
      <c r="D55" s="406">
        <v>5593</v>
      </c>
      <c r="E55" s="406">
        <v>398.13</v>
      </c>
      <c r="F55" s="406">
        <v>842097</v>
      </c>
      <c r="G55" s="406">
        <v>720640</v>
      </c>
      <c r="H55" s="406">
        <v>49605</v>
      </c>
    </row>
    <row r="56" spans="1:8" x14ac:dyDescent="0.25">
      <c r="A56" s="404">
        <v>54</v>
      </c>
      <c r="B56" s="405" t="s">
        <v>229</v>
      </c>
      <c r="C56" s="406">
        <v>784206</v>
      </c>
      <c r="D56" s="406">
        <v>547</v>
      </c>
      <c r="E56" s="406">
        <v>109.45</v>
      </c>
      <c r="F56" s="406">
        <v>504592</v>
      </c>
      <c r="G56" s="406">
        <v>502938</v>
      </c>
      <c r="H56" s="406">
        <v>333141</v>
      </c>
    </row>
    <row r="57" spans="1:8" x14ac:dyDescent="0.25">
      <c r="A57" s="404">
        <v>55</v>
      </c>
      <c r="B57" s="405" t="s">
        <v>52</v>
      </c>
      <c r="C57" s="406">
        <v>1276760</v>
      </c>
      <c r="D57" s="406">
        <v>135205</v>
      </c>
      <c r="E57" s="406">
        <v>160.12</v>
      </c>
      <c r="F57" s="406">
        <v>1147184</v>
      </c>
      <c r="G57" s="406">
        <v>379244</v>
      </c>
      <c r="H57" s="406">
        <v>264678</v>
      </c>
    </row>
    <row r="58" spans="1:8" ht="27" x14ac:dyDescent="0.25">
      <c r="A58" s="404">
        <v>56</v>
      </c>
      <c r="B58" s="407" t="s">
        <v>611</v>
      </c>
      <c r="C58" s="407">
        <f t="shared" ref="C58:H58" si="3">SUM(C55:C57)</f>
        <v>3038517</v>
      </c>
      <c r="D58" s="407">
        <f t="shared" si="3"/>
        <v>141345</v>
      </c>
      <c r="E58" s="408">
        <f t="shared" si="3"/>
        <v>667.7</v>
      </c>
      <c r="F58" s="407">
        <f t="shared" si="3"/>
        <v>2493873</v>
      </c>
      <c r="G58" s="407">
        <f t="shared" si="3"/>
        <v>1602822</v>
      </c>
      <c r="H58" s="408">
        <f t="shared" si="3"/>
        <v>647424</v>
      </c>
    </row>
    <row r="59" spans="1:8" x14ac:dyDescent="0.25">
      <c r="A59" s="404">
        <v>57</v>
      </c>
      <c r="B59" s="405" t="s">
        <v>290</v>
      </c>
      <c r="C59" s="406">
        <v>0</v>
      </c>
      <c r="D59" s="406">
        <v>0</v>
      </c>
      <c r="E59" s="406">
        <v>0</v>
      </c>
      <c r="F59" s="406">
        <v>0</v>
      </c>
      <c r="G59" s="406">
        <v>0</v>
      </c>
      <c r="H59" s="406">
        <v>0</v>
      </c>
    </row>
    <row r="60" spans="1:8" x14ac:dyDescent="0.25">
      <c r="A60" s="404">
        <v>58</v>
      </c>
      <c r="B60" s="405" t="s">
        <v>53</v>
      </c>
      <c r="C60" s="405">
        <v>1279652</v>
      </c>
      <c r="D60" s="405">
        <v>0</v>
      </c>
      <c r="E60" s="405">
        <v>350.41999999999962</v>
      </c>
      <c r="F60" s="405">
        <v>754266</v>
      </c>
      <c r="G60" s="405">
        <v>2076386</v>
      </c>
      <c r="H60" s="405">
        <v>999127</v>
      </c>
    </row>
    <row r="61" spans="1:8" x14ac:dyDescent="0.25">
      <c r="A61" s="404">
        <v>59</v>
      </c>
      <c r="B61" s="407" t="s">
        <v>612</v>
      </c>
      <c r="C61" s="407">
        <v>0</v>
      </c>
      <c r="D61" s="407">
        <v>0</v>
      </c>
      <c r="E61" s="408">
        <v>0</v>
      </c>
      <c r="F61" s="407">
        <v>0</v>
      </c>
      <c r="G61" s="407">
        <v>0</v>
      </c>
      <c r="H61" s="408">
        <v>0</v>
      </c>
    </row>
    <row r="62" spans="1:8" x14ac:dyDescent="0.25">
      <c r="A62" s="404">
        <v>60</v>
      </c>
      <c r="B62" s="409" t="s">
        <v>292</v>
      </c>
      <c r="C62" s="409">
        <f>C60+C58+C54+C31+C24</f>
        <v>23695680</v>
      </c>
      <c r="D62" s="409">
        <f t="shared" ref="D62:H62" si="4">D60+D58+D54+D31+D24</f>
        <v>2562574</v>
      </c>
      <c r="E62" s="409">
        <f t="shared" si="4"/>
        <v>3054.24</v>
      </c>
      <c r="F62" s="409">
        <f t="shared" si="4"/>
        <v>17285998</v>
      </c>
      <c r="G62" s="409">
        <f t="shared" si="4"/>
        <v>14705671</v>
      </c>
      <c r="H62" s="409">
        <f t="shared" si="4"/>
        <v>7046770</v>
      </c>
    </row>
    <row r="63" spans="1:8" ht="0.6" customHeight="1" x14ac:dyDescent="0.25"/>
    <row r="64" spans="1:8" x14ac:dyDescent="0.25">
      <c r="B64" s="422" t="s">
        <v>1246</v>
      </c>
    </row>
    <row r="65" spans="9:9" x14ac:dyDescent="0.25">
      <c r="I65" s="439">
        <f>I60+I62</f>
        <v>0</v>
      </c>
    </row>
  </sheetData>
  <mergeCells count="1">
    <mergeCell ref="A1:H1"/>
  </mergeCells>
  <pageMargins left="0.7" right="0.7" top="0.25" bottom="0.25" header="0.3" footer="0.3"/>
  <pageSetup paperSize="9" scale="75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9" sqref="F9"/>
    </sheetView>
  </sheetViews>
  <sheetFormatPr defaultRowHeight="15" x14ac:dyDescent="0.2"/>
  <cols>
    <col min="1" max="16384" width="9.140625" style="410"/>
  </cols>
  <sheetData>
    <row r="1" spans="1:15" ht="18.75" x14ac:dyDescent="0.2">
      <c r="A1" s="619" t="s">
        <v>1218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</row>
    <row r="2" spans="1:15" ht="28.5" customHeight="1" x14ac:dyDescent="0.2">
      <c r="A2" s="621" t="s">
        <v>1247</v>
      </c>
      <c r="B2" s="621"/>
      <c r="C2" s="621"/>
      <c r="D2" s="621"/>
      <c r="E2" s="621"/>
      <c r="M2" s="620" t="s">
        <v>1219</v>
      </c>
      <c r="N2" s="620"/>
    </row>
    <row r="3" spans="1:15" s="411" customFormat="1" ht="99.75" x14ac:dyDescent="0.2">
      <c r="A3" s="413" t="s">
        <v>286</v>
      </c>
      <c r="B3" s="413" t="s">
        <v>273</v>
      </c>
      <c r="C3" s="413" t="s">
        <v>1205</v>
      </c>
      <c r="D3" s="413" t="s">
        <v>1208</v>
      </c>
      <c r="E3" s="413" t="s">
        <v>1209</v>
      </c>
      <c r="F3" s="413" t="s">
        <v>1210</v>
      </c>
      <c r="G3" s="413" t="s">
        <v>1206</v>
      </c>
      <c r="H3" s="413" t="s">
        <v>1207</v>
      </c>
      <c r="I3" s="413" t="s">
        <v>1211</v>
      </c>
      <c r="J3" s="413" t="s">
        <v>1213</v>
      </c>
      <c r="K3" s="413" t="s">
        <v>1212</v>
      </c>
      <c r="L3" s="413" t="s">
        <v>1214</v>
      </c>
      <c r="M3" s="413" t="s">
        <v>1215</v>
      </c>
      <c r="N3" s="413" t="s">
        <v>1216</v>
      </c>
      <c r="O3" s="413" t="s">
        <v>1217</v>
      </c>
    </row>
    <row r="4" spans="1:15" x14ac:dyDescent="0.2">
      <c r="A4" s="412"/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</row>
    <row r="5" spans="1:15" x14ac:dyDescent="0.2">
      <c r="A5" s="412"/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</row>
    <row r="6" spans="1:15" x14ac:dyDescent="0.2">
      <c r="A6" s="412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</row>
    <row r="7" spans="1:15" x14ac:dyDescent="0.2">
      <c r="A7" s="412"/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</row>
    <row r="8" spans="1:15" x14ac:dyDescent="0.2">
      <c r="A8" s="412"/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</row>
    <row r="9" spans="1:15" x14ac:dyDescent="0.2">
      <c r="A9" s="412"/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</row>
    <row r="10" spans="1:15" x14ac:dyDescent="0.2">
      <c r="A10" s="412"/>
      <c r="B10" s="412"/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</row>
    <row r="11" spans="1:15" x14ac:dyDescent="0.2">
      <c r="A11" s="412"/>
      <c r="B11" s="412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</row>
    <row r="12" spans="1:15" x14ac:dyDescent="0.2">
      <c r="A12" s="412"/>
      <c r="B12" s="412"/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2"/>
      <c r="O12" s="412"/>
    </row>
    <row r="13" spans="1:15" x14ac:dyDescent="0.2">
      <c r="A13" s="412"/>
      <c r="B13" s="412"/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N13" s="412"/>
      <c r="O13" s="412"/>
    </row>
    <row r="14" spans="1:15" x14ac:dyDescent="0.2">
      <c r="A14" s="412"/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</row>
    <row r="15" spans="1:15" x14ac:dyDescent="0.2">
      <c r="A15" s="412"/>
      <c r="B15" s="412"/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</row>
    <row r="16" spans="1:15" x14ac:dyDescent="0.2">
      <c r="A16" s="412"/>
      <c r="B16" s="412"/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O16" s="412"/>
    </row>
    <row r="17" spans="1:15" x14ac:dyDescent="0.2">
      <c r="A17" s="412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</row>
    <row r="18" spans="1:15" x14ac:dyDescent="0.2">
      <c r="A18" s="412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</row>
    <row r="19" spans="1:15" x14ac:dyDescent="0.2">
      <c r="A19" s="412"/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</row>
    <row r="20" spans="1:15" x14ac:dyDescent="0.2">
      <c r="A20" s="412"/>
      <c r="B20" s="412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</row>
    <row r="21" spans="1:15" x14ac:dyDescent="0.2">
      <c r="A21" s="412"/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</row>
    <row r="22" spans="1:15" x14ac:dyDescent="0.2">
      <c r="A22" s="412"/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</row>
    <row r="23" spans="1:15" x14ac:dyDescent="0.2">
      <c r="A23" s="412"/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</row>
    <row r="24" spans="1:15" x14ac:dyDescent="0.2">
      <c r="A24" s="412"/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</row>
  </sheetData>
  <mergeCells count="3">
    <mergeCell ref="A1:O1"/>
    <mergeCell ref="M2:N2"/>
    <mergeCell ref="A2:E2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H55"/>
  <sheetViews>
    <sheetView view="pageBreakPreview" zoomScale="60" zoomScaleNormal="100" workbookViewId="0">
      <selection activeCell="M19" sqref="M19"/>
    </sheetView>
  </sheetViews>
  <sheetFormatPr defaultRowHeight="12.75" x14ac:dyDescent="0.2"/>
  <cols>
    <col min="1" max="1" width="7.5703125" style="8" customWidth="1"/>
    <col min="2" max="2" width="28.28515625" style="7" customWidth="1"/>
    <col min="3" max="3" width="15.5703125" style="25" customWidth="1"/>
    <col min="4" max="4" width="17.42578125" style="25" customWidth="1"/>
    <col min="5" max="5" width="11.5703125" style="25" hidden="1" customWidth="1"/>
    <col min="6" max="6" width="12.28515625" style="7" customWidth="1"/>
    <col min="7" max="16384" width="9.140625" style="7"/>
  </cols>
  <sheetData>
    <row r="1" spans="1:8" ht="12.75" customHeight="1" x14ac:dyDescent="0.2">
      <c r="A1" s="473" t="s">
        <v>460</v>
      </c>
      <c r="B1" s="473"/>
      <c r="C1" s="473"/>
      <c r="D1" s="473"/>
      <c r="E1" s="473"/>
      <c r="F1" s="473"/>
    </row>
    <row r="2" spans="1:8" ht="14.25" x14ac:dyDescent="0.2">
      <c r="A2" s="456" t="s">
        <v>177</v>
      </c>
      <c r="B2" s="456"/>
      <c r="C2" s="456"/>
      <c r="D2" s="456"/>
      <c r="E2" s="456"/>
      <c r="F2" s="456"/>
    </row>
    <row r="3" spans="1:8" ht="14.25" customHeight="1" x14ac:dyDescent="0.2">
      <c r="A3" s="31"/>
      <c r="B3" s="29" t="s">
        <v>12</v>
      </c>
      <c r="C3" s="6"/>
      <c r="D3" s="6"/>
      <c r="E3" s="6"/>
      <c r="F3" s="42" t="s">
        <v>176</v>
      </c>
    </row>
    <row r="4" spans="1:8" s="3" customFormat="1" ht="24.95" customHeight="1" x14ac:dyDescent="0.2">
      <c r="A4" s="43" t="s">
        <v>286</v>
      </c>
      <c r="B4" s="43" t="s">
        <v>178</v>
      </c>
      <c r="C4" s="44" t="s">
        <v>14</v>
      </c>
      <c r="D4" s="45" t="s">
        <v>9</v>
      </c>
      <c r="E4" s="46"/>
      <c r="F4" s="233" t="s">
        <v>10</v>
      </c>
    </row>
    <row r="5" spans="1:8" s="3" customFormat="1" ht="15" customHeight="1" x14ac:dyDescent="0.2">
      <c r="A5" s="235">
        <v>1</v>
      </c>
      <c r="B5" s="1" t="s">
        <v>302</v>
      </c>
      <c r="C5" s="212">
        <v>60084</v>
      </c>
      <c r="D5" s="212">
        <v>114495</v>
      </c>
      <c r="E5" s="236">
        <f t="shared" ref="E5:E55" si="0">D5*100/C5</f>
        <v>190.55821849410825</v>
      </c>
      <c r="F5" s="47">
        <f>D5*100/C5</f>
        <v>190.55821849410825</v>
      </c>
    </row>
    <row r="6" spans="1:8" ht="15" x14ac:dyDescent="0.2">
      <c r="A6" s="235">
        <v>2</v>
      </c>
      <c r="B6" s="1" t="s">
        <v>303</v>
      </c>
      <c r="C6" s="212">
        <v>100250</v>
      </c>
      <c r="D6" s="212">
        <v>41646</v>
      </c>
      <c r="E6" s="236">
        <f t="shared" si="0"/>
        <v>41.54214463840399</v>
      </c>
      <c r="F6" s="47">
        <f t="shared" ref="F6:F55" si="1">D6*100/C6</f>
        <v>41.54214463840399</v>
      </c>
      <c r="G6" s="3"/>
      <c r="H6" s="3"/>
    </row>
    <row r="7" spans="1:8" ht="15" x14ac:dyDescent="0.2">
      <c r="A7" s="235">
        <v>3</v>
      </c>
      <c r="B7" s="1" t="s">
        <v>304</v>
      </c>
      <c r="C7" s="212">
        <v>2705</v>
      </c>
      <c r="D7" s="212">
        <v>5826</v>
      </c>
      <c r="E7" s="236">
        <f t="shared" si="0"/>
        <v>215.37892791127541</v>
      </c>
      <c r="F7" s="47">
        <f t="shared" si="1"/>
        <v>215.37892791127541</v>
      </c>
      <c r="G7" s="3"/>
      <c r="H7" s="3"/>
    </row>
    <row r="8" spans="1:8" ht="15" x14ac:dyDescent="0.2">
      <c r="A8" s="235">
        <v>4</v>
      </c>
      <c r="B8" s="1" t="s">
        <v>305</v>
      </c>
      <c r="C8" s="212">
        <v>158927</v>
      </c>
      <c r="D8" s="212">
        <v>146604</v>
      </c>
      <c r="E8" s="236">
        <f t="shared" si="0"/>
        <v>92.246125579668657</v>
      </c>
      <c r="F8" s="47">
        <f t="shared" si="1"/>
        <v>92.246125579668657</v>
      </c>
      <c r="G8" s="3"/>
      <c r="H8" s="3"/>
    </row>
    <row r="9" spans="1:8" ht="15" x14ac:dyDescent="0.2">
      <c r="A9" s="235">
        <v>5</v>
      </c>
      <c r="B9" s="1" t="s">
        <v>280</v>
      </c>
      <c r="C9" s="212">
        <v>342126</v>
      </c>
      <c r="D9" s="212">
        <v>156176</v>
      </c>
      <c r="E9" s="236">
        <f t="shared" si="0"/>
        <v>45.648679141602798</v>
      </c>
      <c r="F9" s="47">
        <f t="shared" si="1"/>
        <v>45.648679141602798</v>
      </c>
      <c r="G9" s="3"/>
      <c r="H9" s="3"/>
    </row>
    <row r="10" spans="1:8" ht="15" x14ac:dyDescent="0.2">
      <c r="A10" s="235">
        <v>6</v>
      </c>
      <c r="B10" s="1" t="s">
        <v>281</v>
      </c>
      <c r="C10" s="212">
        <v>19330.75</v>
      </c>
      <c r="D10" s="212">
        <v>17248.259999999998</v>
      </c>
      <c r="E10" s="236">
        <f t="shared" si="0"/>
        <v>89.227060512396037</v>
      </c>
      <c r="F10" s="47">
        <f t="shared" si="1"/>
        <v>89.227060512396037</v>
      </c>
      <c r="G10" s="3"/>
      <c r="H10" s="3"/>
    </row>
    <row r="11" spans="1:8" ht="15" x14ac:dyDescent="0.2">
      <c r="A11" s="235">
        <v>7</v>
      </c>
      <c r="B11" s="1" t="s">
        <v>306</v>
      </c>
      <c r="C11" s="212">
        <v>485061</v>
      </c>
      <c r="D11" s="212">
        <v>219065</v>
      </c>
      <c r="E11" s="236">
        <f t="shared" si="0"/>
        <v>45.162361022634265</v>
      </c>
      <c r="F11" s="47">
        <f t="shared" si="1"/>
        <v>45.162361022634265</v>
      </c>
      <c r="G11" s="3"/>
      <c r="H11" s="3"/>
    </row>
    <row r="12" spans="1:8" ht="15" x14ac:dyDescent="0.2">
      <c r="A12" s="235">
        <v>8</v>
      </c>
      <c r="B12" s="1" t="s">
        <v>307</v>
      </c>
      <c r="C12" s="212">
        <v>357650</v>
      </c>
      <c r="D12" s="212">
        <v>138550</v>
      </c>
      <c r="E12" s="236">
        <f t="shared" si="0"/>
        <v>38.738990633300716</v>
      </c>
      <c r="F12" s="47">
        <f t="shared" si="1"/>
        <v>38.738990633300716</v>
      </c>
      <c r="G12" s="3"/>
      <c r="H12" s="3"/>
    </row>
    <row r="13" spans="1:8" ht="15" x14ac:dyDescent="0.2">
      <c r="A13" s="235">
        <v>9</v>
      </c>
      <c r="B13" s="1" t="s">
        <v>308</v>
      </c>
      <c r="C13" s="212">
        <v>633994.74</v>
      </c>
      <c r="D13" s="212">
        <v>376684.79999999999</v>
      </c>
      <c r="E13" s="236">
        <f t="shared" si="0"/>
        <v>59.414499243321799</v>
      </c>
      <c r="F13" s="47">
        <f t="shared" si="1"/>
        <v>59.414499243321799</v>
      </c>
      <c r="G13" s="3"/>
      <c r="H13" s="3"/>
    </row>
    <row r="14" spans="1:8" ht="15" x14ac:dyDescent="0.2">
      <c r="A14" s="235">
        <v>10</v>
      </c>
      <c r="B14" s="1" t="s">
        <v>309</v>
      </c>
      <c r="C14" s="212">
        <v>234649</v>
      </c>
      <c r="D14" s="212">
        <v>193967</v>
      </c>
      <c r="E14" s="236">
        <f t="shared" si="0"/>
        <v>82.662615225293948</v>
      </c>
      <c r="F14" s="47">
        <f t="shared" si="1"/>
        <v>82.662615225293948</v>
      </c>
      <c r="G14" s="3"/>
      <c r="H14" s="3"/>
    </row>
    <row r="15" spans="1:8" ht="15" x14ac:dyDescent="0.2">
      <c r="A15" s="235">
        <v>11</v>
      </c>
      <c r="B15" s="1" t="s">
        <v>310</v>
      </c>
      <c r="C15" s="212">
        <v>469069</v>
      </c>
      <c r="D15" s="212">
        <v>180215</v>
      </c>
      <c r="E15" s="236">
        <f t="shared" si="0"/>
        <v>38.419720766028028</v>
      </c>
      <c r="F15" s="47">
        <f t="shared" si="1"/>
        <v>38.419720766028028</v>
      </c>
      <c r="G15" s="3"/>
      <c r="H15" s="3"/>
    </row>
    <row r="16" spans="1:8" ht="15" x14ac:dyDescent="0.2">
      <c r="A16" s="235">
        <v>12</v>
      </c>
      <c r="B16" s="1" t="s">
        <v>311</v>
      </c>
      <c r="C16" s="212">
        <v>742935</v>
      </c>
      <c r="D16" s="212">
        <v>359658</v>
      </c>
      <c r="E16" s="236">
        <f t="shared" si="0"/>
        <v>48.410426214944778</v>
      </c>
      <c r="F16" s="47">
        <f t="shared" si="1"/>
        <v>48.410426214944778</v>
      </c>
      <c r="G16" s="3"/>
      <c r="H16" s="3"/>
    </row>
    <row r="17" spans="1:8" ht="15" x14ac:dyDescent="0.2">
      <c r="A17" s="235">
        <v>13</v>
      </c>
      <c r="B17" s="1" t="s">
        <v>312</v>
      </c>
      <c r="C17" s="212">
        <v>277739</v>
      </c>
      <c r="D17" s="212">
        <v>140903</v>
      </c>
      <c r="E17" s="236">
        <f t="shared" si="0"/>
        <v>50.732162209844496</v>
      </c>
      <c r="F17" s="47">
        <f t="shared" si="1"/>
        <v>50.732162209844496</v>
      </c>
      <c r="G17" s="3"/>
      <c r="H17" s="3"/>
    </row>
    <row r="18" spans="1:8" ht="15" x14ac:dyDescent="0.2">
      <c r="A18" s="235">
        <v>14</v>
      </c>
      <c r="B18" s="1" t="s">
        <v>313</v>
      </c>
      <c r="C18" s="212">
        <v>178667</v>
      </c>
      <c r="D18" s="212">
        <v>123580</v>
      </c>
      <c r="E18" s="236">
        <f t="shared" si="0"/>
        <v>69.167781403392908</v>
      </c>
      <c r="F18" s="47">
        <f t="shared" si="1"/>
        <v>69.167781403392908</v>
      </c>
      <c r="G18" s="3"/>
      <c r="H18" s="3"/>
    </row>
    <row r="19" spans="1:8" ht="15" x14ac:dyDescent="0.2">
      <c r="A19" s="235">
        <v>15</v>
      </c>
      <c r="B19" s="1" t="s">
        <v>282</v>
      </c>
      <c r="C19" s="212">
        <v>484388</v>
      </c>
      <c r="D19" s="212">
        <v>333262</v>
      </c>
      <c r="E19" s="236">
        <f t="shared" si="0"/>
        <v>68.800630899196506</v>
      </c>
      <c r="F19" s="47">
        <f t="shared" si="1"/>
        <v>68.800630899196506</v>
      </c>
      <c r="G19" s="3"/>
      <c r="H19" s="3"/>
    </row>
    <row r="20" spans="1:8" ht="15" x14ac:dyDescent="0.2">
      <c r="A20" s="235">
        <v>16</v>
      </c>
      <c r="B20" s="1" t="s">
        <v>314</v>
      </c>
      <c r="C20" s="212">
        <v>685963</v>
      </c>
      <c r="D20" s="212">
        <v>489763</v>
      </c>
      <c r="E20" s="236">
        <f t="shared" si="0"/>
        <v>71.397874229368057</v>
      </c>
      <c r="F20" s="47">
        <f t="shared" si="1"/>
        <v>71.397874229368057</v>
      </c>
      <c r="G20" s="3"/>
      <c r="H20" s="3"/>
    </row>
    <row r="21" spans="1:8" ht="15" x14ac:dyDescent="0.2">
      <c r="A21" s="235">
        <v>17</v>
      </c>
      <c r="B21" s="1" t="s">
        <v>315</v>
      </c>
      <c r="C21" s="212">
        <v>86192</v>
      </c>
      <c r="D21" s="212">
        <v>32873</v>
      </c>
      <c r="E21" s="236">
        <f t="shared" si="0"/>
        <v>38.139270465936512</v>
      </c>
      <c r="F21" s="47">
        <f t="shared" si="1"/>
        <v>38.139270465936512</v>
      </c>
      <c r="G21" s="3"/>
      <c r="H21" s="3"/>
    </row>
    <row r="22" spans="1:8" ht="15" x14ac:dyDescent="0.2">
      <c r="A22" s="235">
        <v>18</v>
      </c>
      <c r="B22" s="1" t="s">
        <v>316</v>
      </c>
      <c r="C22" s="212">
        <v>292116</v>
      </c>
      <c r="D22" s="212">
        <v>192943</v>
      </c>
      <c r="E22" s="236">
        <f t="shared" si="0"/>
        <v>66.050130769968092</v>
      </c>
      <c r="F22" s="47">
        <f t="shared" si="1"/>
        <v>66.050130769968092</v>
      </c>
      <c r="G22" s="3"/>
      <c r="H22" s="3"/>
    </row>
    <row r="23" spans="1:8" ht="15" x14ac:dyDescent="0.2">
      <c r="A23" s="235">
        <v>19</v>
      </c>
      <c r="B23" s="1" t="s">
        <v>317</v>
      </c>
      <c r="C23" s="212">
        <v>157345</v>
      </c>
      <c r="D23" s="212">
        <v>67077</v>
      </c>
      <c r="E23" s="236">
        <f t="shared" si="0"/>
        <v>42.630525278845852</v>
      </c>
      <c r="F23" s="47">
        <f t="shared" si="1"/>
        <v>42.630525278845852</v>
      </c>
      <c r="G23" s="3"/>
      <c r="H23" s="3"/>
    </row>
    <row r="24" spans="1:8" ht="15" x14ac:dyDescent="0.2">
      <c r="A24" s="235">
        <v>20</v>
      </c>
      <c r="B24" s="1" t="s">
        <v>318</v>
      </c>
      <c r="C24" s="212">
        <v>163370</v>
      </c>
      <c r="D24" s="212">
        <v>198069</v>
      </c>
      <c r="E24" s="236">
        <f t="shared" si="0"/>
        <v>121.23951765930097</v>
      </c>
      <c r="F24" s="47">
        <f t="shared" si="1"/>
        <v>121.23951765930097</v>
      </c>
      <c r="G24" s="3"/>
      <c r="H24" s="3"/>
    </row>
    <row r="25" spans="1:8" ht="15" x14ac:dyDescent="0.2">
      <c r="A25" s="235">
        <v>21</v>
      </c>
      <c r="B25" s="1" t="s">
        <v>319</v>
      </c>
      <c r="C25" s="212">
        <v>531223</v>
      </c>
      <c r="D25" s="212">
        <v>468187</v>
      </c>
      <c r="E25" s="236">
        <f t="shared" si="0"/>
        <v>88.133796917678637</v>
      </c>
      <c r="F25" s="47">
        <f t="shared" si="1"/>
        <v>88.133796917678637</v>
      </c>
      <c r="G25" s="3"/>
      <c r="H25" s="3"/>
    </row>
    <row r="26" spans="1:8" ht="15" x14ac:dyDescent="0.2">
      <c r="A26" s="235">
        <v>22</v>
      </c>
      <c r="B26" s="1" t="s">
        <v>320</v>
      </c>
      <c r="C26" s="212">
        <v>4615098</v>
      </c>
      <c r="D26" s="212">
        <v>4654400</v>
      </c>
      <c r="E26" s="236">
        <f t="shared" si="0"/>
        <v>100.85159621745844</v>
      </c>
      <c r="F26" s="47">
        <f t="shared" si="1"/>
        <v>100.85159621745844</v>
      </c>
      <c r="G26" s="3"/>
      <c r="H26" s="3"/>
    </row>
    <row r="27" spans="1:8" ht="15" x14ac:dyDescent="0.2">
      <c r="A27" s="235">
        <v>23</v>
      </c>
      <c r="B27" s="1" t="s">
        <v>321</v>
      </c>
      <c r="C27" s="212">
        <v>2374325</v>
      </c>
      <c r="D27" s="212">
        <v>839084</v>
      </c>
      <c r="E27" s="236">
        <f t="shared" si="0"/>
        <v>35.339896602192205</v>
      </c>
      <c r="F27" s="47">
        <f t="shared" si="1"/>
        <v>35.339896602192205</v>
      </c>
      <c r="G27" s="3"/>
      <c r="H27" s="3"/>
    </row>
    <row r="28" spans="1:8" ht="15" x14ac:dyDescent="0.2">
      <c r="A28" s="235">
        <v>24</v>
      </c>
      <c r="B28" s="1" t="s">
        <v>322</v>
      </c>
      <c r="C28" s="212">
        <v>1453</v>
      </c>
      <c r="D28" s="212">
        <v>987</v>
      </c>
      <c r="E28" s="236">
        <f t="shared" si="0"/>
        <v>67.928423950447353</v>
      </c>
      <c r="F28" s="47">
        <f t="shared" si="1"/>
        <v>67.928423950447353</v>
      </c>
      <c r="G28" s="3"/>
      <c r="H28" s="3"/>
    </row>
    <row r="29" spans="1:8" ht="15" x14ac:dyDescent="0.2">
      <c r="A29" s="235">
        <v>25</v>
      </c>
      <c r="B29" s="1" t="s">
        <v>323</v>
      </c>
      <c r="C29" s="213">
        <v>423199</v>
      </c>
      <c r="D29" s="213">
        <v>171333</v>
      </c>
      <c r="E29" s="236">
        <f t="shared" si="0"/>
        <v>40.48520908603281</v>
      </c>
      <c r="F29" s="47">
        <f t="shared" si="1"/>
        <v>40.48520908603281</v>
      </c>
      <c r="G29" s="3"/>
      <c r="H29" s="3"/>
    </row>
    <row r="30" spans="1:8" ht="15" x14ac:dyDescent="0.2">
      <c r="A30" s="235">
        <v>26</v>
      </c>
      <c r="B30" s="1" t="s">
        <v>324</v>
      </c>
      <c r="C30" s="212">
        <v>1857326</v>
      </c>
      <c r="D30" s="212">
        <v>1994763</v>
      </c>
      <c r="E30" s="236">
        <f t="shared" si="0"/>
        <v>107.39972411951375</v>
      </c>
      <c r="F30" s="47">
        <f t="shared" si="1"/>
        <v>107.39972411951375</v>
      </c>
      <c r="G30" s="3"/>
      <c r="H30" s="3"/>
    </row>
    <row r="31" spans="1:8" ht="15" x14ac:dyDescent="0.2">
      <c r="A31" s="235">
        <v>27</v>
      </c>
      <c r="B31" s="1" t="s">
        <v>325</v>
      </c>
      <c r="C31" s="212">
        <v>444933</v>
      </c>
      <c r="D31" s="212">
        <v>467394</v>
      </c>
      <c r="E31" s="236">
        <f t="shared" si="0"/>
        <v>105.04817579275981</v>
      </c>
      <c r="F31" s="47">
        <f t="shared" si="1"/>
        <v>105.04817579275981</v>
      </c>
      <c r="G31" s="3"/>
      <c r="H31" s="3"/>
    </row>
    <row r="32" spans="1:8" ht="15" x14ac:dyDescent="0.2">
      <c r="A32" s="235">
        <v>28</v>
      </c>
      <c r="B32" s="1" t="s">
        <v>459</v>
      </c>
      <c r="C32" s="212">
        <v>247968</v>
      </c>
      <c r="D32" s="212">
        <v>92862</v>
      </c>
      <c r="E32" s="236">
        <f t="shared" si="0"/>
        <v>37.449186991869915</v>
      </c>
      <c r="F32" s="47">
        <f t="shared" si="1"/>
        <v>37.449186991869915</v>
      </c>
      <c r="G32" s="3"/>
      <c r="H32" s="3"/>
    </row>
    <row r="33" spans="1:8" ht="15" x14ac:dyDescent="0.2">
      <c r="A33" s="235">
        <v>29</v>
      </c>
      <c r="B33" s="1" t="s">
        <v>327</v>
      </c>
      <c r="C33" s="212">
        <v>367947</v>
      </c>
      <c r="D33" s="212">
        <v>263494</v>
      </c>
      <c r="E33" s="236">
        <f t="shared" si="0"/>
        <v>71.611944111516067</v>
      </c>
      <c r="F33" s="47">
        <f t="shared" si="1"/>
        <v>71.611944111516067</v>
      </c>
      <c r="G33" s="3"/>
      <c r="H33" s="3"/>
    </row>
    <row r="34" spans="1:8" ht="15" x14ac:dyDescent="0.2">
      <c r="A34" s="235">
        <v>30</v>
      </c>
      <c r="B34" s="1" t="s">
        <v>328</v>
      </c>
      <c r="C34" s="212">
        <v>387384</v>
      </c>
      <c r="D34" s="212">
        <v>205453</v>
      </c>
      <c r="E34" s="236">
        <f t="shared" si="0"/>
        <v>53.036005617165394</v>
      </c>
      <c r="F34" s="47">
        <f t="shared" si="1"/>
        <v>53.036005617165394</v>
      </c>
      <c r="G34" s="3"/>
      <c r="H34" s="3"/>
    </row>
    <row r="35" spans="1:8" ht="15" x14ac:dyDescent="0.2">
      <c r="A35" s="235">
        <v>31</v>
      </c>
      <c r="B35" s="1" t="s">
        <v>329</v>
      </c>
      <c r="C35" s="212">
        <v>271657</v>
      </c>
      <c r="D35" s="212">
        <v>251247</v>
      </c>
      <c r="E35" s="236">
        <f t="shared" si="0"/>
        <v>92.486849225309854</v>
      </c>
      <c r="F35" s="47">
        <f t="shared" si="1"/>
        <v>92.486849225309854</v>
      </c>
      <c r="G35" s="3"/>
      <c r="H35" s="3"/>
    </row>
    <row r="36" spans="1:8" ht="15" x14ac:dyDescent="0.2">
      <c r="A36" s="235">
        <v>32</v>
      </c>
      <c r="B36" s="1" t="s">
        <v>330</v>
      </c>
      <c r="C36" s="212">
        <v>291105</v>
      </c>
      <c r="D36" s="212">
        <v>169667</v>
      </c>
      <c r="E36" s="236">
        <f t="shared" si="0"/>
        <v>58.283780766390137</v>
      </c>
      <c r="F36" s="47">
        <f t="shared" si="1"/>
        <v>58.283780766390137</v>
      </c>
      <c r="G36" s="3"/>
      <c r="H36" s="3"/>
    </row>
    <row r="37" spans="1:8" ht="15" x14ac:dyDescent="0.2">
      <c r="A37" s="235">
        <v>33</v>
      </c>
      <c r="B37" s="1" t="s">
        <v>283</v>
      </c>
      <c r="C37" s="212">
        <v>211421</v>
      </c>
      <c r="D37" s="212">
        <v>77922</v>
      </c>
      <c r="E37" s="236">
        <f t="shared" si="0"/>
        <v>36.856319854697496</v>
      </c>
      <c r="F37" s="47">
        <f t="shared" si="1"/>
        <v>36.856319854697496</v>
      </c>
      <c r="G37" s="3"/>
      <c r="H37" s="3"/>
    </row>
    <row r="38" spans="1:8" ht="15" x14ac:dyDescent="0.2">
      <c r="A38" s="235">
        <v>34</v>
      </c>
      <c r="B38" s="1" t="s">
        <v>331</v>
      </c>
      <c r="C38" s="212">
        <v>220390</v>
      </c>
      <c r="D38" s="212">
        <v>250100</v>
      </c>
      <c r="E38" s="236">
        <f t="shared" si="0"/>
        <v>113.48064794228414</v>
      </c>
      <c r="F38" s="47">
        <f t="shared" si="1"/>
        <v>113.48064794228414</v>
      </c>
      <c r="G38" s="3"/>
      <c r="H38" s="3"/>
    </row>
    <row r="39" spans="1:8" ht="15" x14ac:dyDescent="0.2">
      <c r="A39" s="235">
        <v>35</v>
      </c>
      <c r="B39" s="1" t="s">
        <v>332</v>
      </c>
      <c r="C39" s="212">
        <v>240862</v>
      </c>
      <c r="D39" s="212">
        <v>274345</v>
      </c>
      <c r="E39" s="236">
        <f t="shared" si="0"/>
        <v>113.90132108842408</v>
      </c>
      <c r="F39" s="47">
        <f t="shared" si="1"/>
        <v>113.90132108842408</v>
      </c>
      <c r="G39" s="3"/>
      <c r="H39" s="3"/>
    </row>
    <row r="40" spans="1:8" ht="15" x14ac:dyDescent="0.2">
      <c r="A40" s="235">
        <v>36</v>
      </c>
      <c r="B40" s="1" t="s">
        <v>333</v>
      </c>
      <c r="C40" s="212">
        <v>445103</v>
      </c>
      <c r="D40" s="212">
        <v>518225</v>
      </c>
      <c r="E40" s="236">
        <f t="shared" si="0"/>
        <v>116.42810765148741</v>
      </c>
      <c r="F40" s="47">
        <f t="shared" si="1"/>
        <v>116.42810765148741</v>
      </c>
      <c r="G40" s="3"/>
      <c r="H40" s="3"/>
    </row>
    <row r="41" spans="1:8" ht="15" x14ac:dyDescent="0.2">
      <c r="A41" s="235">
        <v>37</v>
      </c>
      <c r="B41" s="1" t="s">
        <v>334</v>
      </c>
      <c r="C41" s="212">
        <v>963093</v>
      </c>
      <c r="D41" s="212">
        <v>561738</v>
      </c>
      <c r="E41" s="236">
        <f t="shared" si="0"/>
        <v>58.326454454554231</v>
      </c>
      <c r="F41" s="47">
        <f t="shared" si="1"/>
        <v>58.326454454554231</v>
      </c>
      <c r="G41" s="3"/>
      <c r="H41" s="3"/>
    </row>
    <row r="42" spans="1:8" ht="15" x14ac:dyDescent="0.2">
      <c r="A42" s="235">
        <v>38</v>
      </c>
      <c r="B42" s="1" t="s">
        <v>335</v>
      </c>
      <c r="C42" s="212">
        <v>1226443.42</v>
      </c>
      <c r="D42" s="212">
        <v>418049.15</v>
      </c>
      <c r="E42" s="236">
        <f t="shared" si="0"/>
        <v>34.086297270851681</v>
      </c>
      <c r="F42" s="47">
        <f t="shared" si="1"/>
        <v>34.086297270851681</v>
      </c>
      <c r="G42" s="3"/>
      <c r="H42" s="3"/>
    </row>
    <row r="43" spans="1:8" ht="15" x14ac:dyDescent="0.2">
      <c r="A43" s="235">
        <v>39</v>
      </c>
      <c r="B43" s="1" t="s">
        <v>336</v>
      </c>
      <c r="C43" s="212">
        <v>769457</v>
      </c>
      <c r="D43" s="212">
        <v>268060</v>
      </c>
      <c r="E43" s="236">
        <f t="shared" si="0"/>
        <v>34.837554275287637</v>
      </c>
      <c r="F43" s="47">
        <f t="shared" si="1"/>
        <v>34.837554275287637</v>
      </c>
      <c r="G43" s="3"/>
      <c r="H43" s="3"/>
    </row>
    <row r="44" spans="1:8" ht="15" x14ac:dyDescent="0.2">
      <c r="A44" s="235">
        <v>40</v>
      </c>
      <c r="B44" s="1" t="s">
        <v>284</v>
      </c>
      <c r="C44" s="212">
        <v>268291</v>
      </c>
      <c r="D44" s="212">
        <v>274387</v>
      </c>
      <c r="E44" s="236">
        <f t="shared" si="0"/>
        <v>102.27215970718362</v>
      </c>
      <c r="F44" s="47">
        <f t="shared" si="1"/>
        <v>102.27215970718362</v>
      </c>
      <c r="G44" s="3"/>
      <c r="H44" s="3"/>
    </row>
    <row r="45" spans="1:8" ht="15" x14ac:dyDescent="0.2">
      <c r="A45" s="235">
        <v>41</v>
      </c>
      <c r="B45" s="1" t="s">
        <v>337</v>
      </c>
      <c r="C45" s="212">
        <v>290212</v>
      </c>
      <c r="D45" s="212">
        <v>160629</v>
      </c>
      <c r="E45" s="236">
        <f t="shared" si="0"/>
        <v>55.348848428045706</v>
      </c>
      <c r="F45" s="47">
        <f t="shared" si="1"/>
        <v>55.348848428045706</v>
      </c>
      <c r="G45" s="3"/>
      <c r="H45" s="3"/>
    </row>
    <row r="46" spans="1:8" ht="15" x14ac:dyDescent="0.2">
      <c r="A46" s="235">
        <v>42</v>
      </c>
      <c r="B46" s="1" t="s">
        <v>338</v>
      </c>
      <c r="C46" s="212">
        <v>358050</v>
      </c>
      <c r="D46" s="212">
        <v>92240</v>
      </c>
      <c r="E46" s="236">
        <f t="shared" si="0"/>
        <v>25.761765116603826</v>
      </c>
      <c r="F46" s="47">
        <f t="shared" si="1"/>
        <v>25.761765116603826</v>
      </c>
      <c r="G46" s="3"/>
      <c r="H46" s="3"/>
    </row>
    <row r="47" spans="1:8" ht="15" x14ac:dyDescent="0.2">
      <c r="A47" s="235">
        <v>43</v>
      </c>
      <c r="B47" s="1" t="s">
        <v>339</v>
      </c>
      <c r="C47" s="212">
        <v>173581</v>
      </c>
      <c r="D47" s="212">
        <v>184556</v>
      </c>
      <c r="E47" s="236">
        <f t="shared" si="0"/>
        <v>106.32269660849978</v>
      </c>
      <c r="F47" s="47">
        <f t="shared" si="1"/>
        <v>106.32269660849978</v>
      </c>
      <c r="G47" s="3"/>
      <c r="H47" s="3"/>
    </row>
    <row r="48" spans="1:8" ht="15" x14ac:dyDescent="0.2">
      <c r="A48" s="235">
        <v>44</v>
      </c>
      <c r="B48" s="1" t="s">
        <v>340</v>
      </c>
      <c r="C48" s="212">
        <v>91970</v>
      </c>
      <c r="D48" s="212">
        <v>81528</v>
      </c>
      <c r="E48" s="236">
        <f t="shared" si="0"/>
        <v>88.64629770577362</v>
      </c>
      <c r="F48" s="47">
        <f t="shared" si="1"/>
        <v>88.64629770577362</v>
      </c>
      <c r="G48" s="3"/>
      <c r="H48" s="3"/>
    </row>
    <row r="49" spans="1:8" ht="15" x14ac:dyDescent="0.2">
      <c r="A49" s="235">
        <v>45</v>
      </c>
      <c r="B49" s="1" t="s">
        <v>341</v>
      </c>
      <c r="C49" s="212">
        <v>293100</v>
      </c>
      <c r="D49" s="212">
        <v>167400</v>
      </c>
      <c r="E49" s="236">
        <f t="shared" si="0"/>
        <v>57.113613101330607</v>
      </c>
      <c r="F49" s="47">
        <f t="shared" si="1"/>
        <v>57.113613101330607</v>
      </c>
      <c r="G49" s="3"/>
      <c r="H49" s="3"/>
    </row>
    <row r="50" spans="1:8" ht="15" x14ac:dyDescent="0.2">
      <c r="A50" s="235">
        <v>46</v>
      </c>
      <c r="B50" s="1" t="s">
        <v>342</v>
      </c>
      <c r="C50" s="212">
        <v>228237.95</v>
      </c>
      <c r="D50" s="212">
        <v>243929.69</v>
      </c>
      <c r="E50" s="236">
        <f t="shared" si="0"/>
        <v>106.87516690366347</v>
      </c>
      <c r="F50" s="47">
        <f t="shared" si="1"/>
        <v>106.87516690366347</v>
      </c>
      <c r="G50" s="3"/>
      <c r="H50" s="3"/>
    </row>
    <row r="51" spans="1:8" ht="15" x14ac:dyDescent="0.2">
      <c r="A51" s="235">
        <v>47</v>
      </c>
      <c r="B51" s="1" t="s">
        <v>343</v>
      </c>
      <c r="C51" s="212">
        <v>655422</v>
      </c>
      <c r="D51" s="212">
        <v>649343</v>
      </c>
      <c r="E51" s="236">
        <f t="shared" si="0"/>
        <v>99.072505957993471</v>
      </c>
      <c r="F51" s="47">
        <f t="shared" si="1"/>
        <v>99.072505957993471</v>
      </c>
      <c r="G51" s="3"/>
      <c r="H51" s="3"/>
    </row>
    <row r="52" spans="1:8" ht="15" x14ac:dyDescent="0.2">
      <c r="A52" s="235">
        <v>48</v>
      </c>
      <c r="B52" s="1" t="s">
        <v>285</v>
      </c>
      <c r="C52" s="212">
        <v>317774</v>
      </c>
      <c r="D52" s="212">
        <v>114293</v>
      </c>
      <c r="E52" s="236">
        <f t="shared" si="0"/>
        <v>35.966756248151199</v>
      </c>
      <c r="F52" s="47">
        <f t="shared" si="1"/>
        <v>35.966756248151199</v>
      </c>
      <c r="G52" s="3"/>
      <c r="H52" s="3"/>
    </row>
    <row r="53" spans="1:8" ht="15" x14ac:dyDescent="0.2">
      <c r="A53" s="235">
        <v>49</v>
      </c>
      <c r="B53" s="1" t="s">
        <v>344</v>
      </c>
      <c r="C53" s="212">
        <v>830600</v>
      </c>
      <c r="D53" s="212">
        <v>539000</v>
      </c>
      <c r="E53" s="236">
        <f t="shared" si="0"/>
        <v>64.892848543221774</v>
      </c>
      <c r="F53" s="47">
        <f t="shared" si="1"/>
        <v>64.892848543221774</v>
      </c>
      <c r="G53" s="3"/>
      <c r="H53" s="3"/>
    </row>
    <row r="54" spans="1:8" ht="15" x14ac:dyDescent="0.2">
      <c r="A54" s="235">
        <v>50</v>
      </c>
      <c r="B54" s="1" t="s">
        <v>345</v>
      </c>
      <c r="C54" s="212">
        <v>166508</v>
      </c>
      <c r="D54" s="212">
        <v>37909</v>
      </c>
      <c r="E54" s="236">
        <f t="shared" si="0"/>
        <v>22.767074254690467</v>
      </c>
      <c r="F54" s="47">
        <f t="shared" si="1"/>
        <v>22.767074254690467</v>
      </c>
      <c r="G54" s="3"/>
      <c r="H54" s="3"/>
    </row>
    <row r="55" spans="1:8" ht="15" x14ac:dyDescent="0.2">
      <c r="A55" s="235">
        <v>51</v>
      </c>
      <c r="B55" s="1" t="s">
        <v>346</v>
      </c>
      <c r="C55" s="212">
        <v>390680</v>
      </c>
      <c r="D55" s="212">
        <v>402901</v>
      </c>
      <c r="E55" s="236">
        <f t="shared" si="0"/>
        <v>103.12813555851336</v>
      </c>
      <c r="F55" s="47">
        <f t="shared" si="1"/>
        <v>103.12813555851336</v>
      </c>
      <c r="G55" s="3"/>
      <c r="H55" s="3"/>
    </row>
  </sheetData>
  <autoFilter ref="A4:F55"/>
  <mergeCells count="2">
    <mergeCell ref="A1:F1"/>
    <mergeCell ref="A2:F2"/>
  </mergeCells>
  <pageMargins left="0.7" right="0.7" top="0.75" bottom="0.75" header="0.3" footer="0.3"/>
  <pageSetup paperSize="9" scale="86" orientation="portrait" r:id="rId1"/>
  <headerFooter>
    <oddFooter xml:space="preserve">&amp;CData Table, State Level Banker's Committee, M.P. as on 31.12.2016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76"/>
  <sheetViews>
    <sheetView view="pageBreakPreview" zoomScale="60" zoomScaleNormal="100" workbookViewId="0">
      <selection activeCell="D66" sqref="D66:N72"/>
    </sheetView>
  </sheetViews>
  <sheetFormatPr defaultColWidth="4.42578125" defaultRowHeight="13.5" x14ac:dyDescent="0.2"/>
  <cols>
    <col min="1" max="1" width="4.42578125" style="62"/>
    <col min="2" max="2" width="24.7109375" style="62" customWidth="1"/>
    <col min="3" max="3" width="8.7109375" style="111" bestFit="1" customWidth="1"/>
    <col min="4" max="4" width="9.5703125" style="111" bestFit="1" customWidth="1"/>
    <col min="5" max="5" width="9.42578125" style="111" customWidth="1"/>
    <col min="6" max="6" width="10" style="111" customWidth="1"/>
    <col min="7" max="7" width="7" style="111" customWidth="1"/>
    <col min="8" max="8" width="9.5703125" style="111" customWidth="1"/>
    <col min="9" max="9" width="7.85546875" style="111" customWidth="1"/>
    <col min="10" max="10" width="8.28515625" style="111" customWidth="1"/>
    <col min="11" max="12" width="9" style="111" bestFit="1" customWidth="1"/>
    <col min="13" max="13" width="9" style="109" customWidth="1"/>
    <col min="14" max="14" width="4.42578125" style="62"/>
    <col min="15" max="15" width="8" style="62" hidden="1" customWidth="1"/>
    <col min="16" max="16" width="12" style="111" hidden="1" customWidth="1"/>
    <col min="17" max="17" width="7.42578125" style="111" hidden="1" customWidth="1"/>
    <col min="18" max="18" width="8.5703125" style="111" hidden="1" customWidth="1"/>
    <col min="19" max="19" width="0" style="62" hidden="1" customWidth="1"/>
    <col min="20" max="20" width="12" style="111" hidden="1" customWidth="1"/>
    <col min="21" max="21" width="0" style="62" hidden="1" customWidth="1"/>
    <col min="22" max="16384" width="4.42578125" style="62"/>
  </cols>
  <sheetData>
    <row r="1" spans="1:20" ht="15" customHeight="1" x14ac:dyDescent="0.2">
      <c r="A1" s="477" t="s">
        <v>354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</row>
    <row r="2" spans="1:20" ht="15" customHeight="1" x14ac:dyDescent="0.2">
      <c r="B2" s="108" t="s">
        <v>134</v>
      </c>
      <c r="H2" s="111" t="s">
        <v>143</v>
      </c>
      <c r="J2" s="112" t="s">
        <v>125</v>
      </c>
    </row>
    <row r="3" spans="1:20" ht="15" customHeight="1" x14ac:dyDescent="0.2">
      <c r="A3" s="478" t="s">
        <v>120</v>
      </c>
      <c r="B3" s="478" t="s">
        <v>100</v>
      </c>
      <c r="C3" s="479" t="s">
        <v>355</v>
      </c>
      <c r="D3" s="479"/>
      <c r="E3" s="479"/>
      <c r="F3" s="479"/>
      <c r="G3" s="479"/>
      <c r="H3" s="479"/>
      <c r="I3" s="479"/>
      <c r="J3" s="479"/>
      <c r="K3" s="479"/>
      <c r="L3" s="479"/>
      <c r="M3" s="476" t="s">
        <v>269</v>
      </c>
    </row>
    <row r="4" spans="1:20" ht="24.95" customHeight="1" x14ac:dyDescent="0.2">
      <c r="A4" s="478"/>
      <c r="B4" s="478"/>
      <c r="C4" s="479" t="s">
        <v>32</v>
      </c>
      <c r="D4" s="479"/>
      <c r="E4" s="479" t="s">
        <v>126</v>
      </c>
      <c r="F4" s="479"/>
      <c r="G4" s="479" t="s">
        <v>122</v>
      </c>
      <c r="H4" s="479"/>
      <c r="I4" s="479" t="s">
        <v>123</v>
      </c>
      <c r="J4" s="479"/>
      <c r="K4" s="479" t="s">
        <v>33</v>
      </c>
      <c r="L4" s="479"/>
      <c r="M4" s="476"/>
      <c r="O4" s="474">
        <v>42994</v>
      </c>
      <c r="P4" s="475"/>
      <c r="Q4" s="475" t="s">
        <v>356</v>
      </c>
      <c r="R4" s="475"/>
      <c r="S4" s="108"/>
    </row>
    <row r="5" spans="1:20" ht="15" customHeight="1" x14ac:dyDescent="0.2">
      <c r="A5" s="478"/>
      <c r="B5" s="478"/>
      <c r="C5" s="221" t="s">
        <v>30</v>
      </c>
      <c r="D5" s="221" t="s">
        <v>17</v>
      </c>
      <c r="E5" s="221" t="s">
        <v>30</v>
      </c>
      <c r="F5" s="221" t="s">
        <v>17</v>
      </c>
      <c r="G5" s="221" t="s">
        <v>30</v>
      </c>
      <c r="H5" s="221" t="s">
        <v>17</v>
      </c>
      <c r="I5" s="221" t="s">
        <v>30</v>
      </c>
      <c r="J5" s="221" t="s">
        <v>17</v>
      </c>
      <c r="K5" s="221" t="s">
        <v>30</v>
      </c>
      <c r="L5" s="221" t="s">
        <v>17</v>
      </c>
      <c r="M5" s="476"/>
      <c r="O5" s="313" t="s">
        <v>30</v>
      </c>
      <c r="P5" s="313" t="s">
        <v>17</v>
      </c>
      <c r="Q5" s="313" t="s">
        <v>30</v>
      </c>
      <c r="R5" s="313" t="s">
        <v>17</v>
      </c>
      <c r="T5" s="111" t="s">
        <v>461</v>
      </c>
    </row>
    <row r="6" spans="1:20" ht="15" customHeight="1" x14ac:dyDescent="0.2">
      <c r="A6" s="57">
        <v>1</v>
      </c>
      <c r="B6" s="98" t="s">
        <v>55</v>
      </c>
      <c r="C6" s="99">
        <v>98874</v>
      </c>
      <c r="D6" s="99">
        <v>189271.32</v>
      </c>
      <c r="E6" s="99">
        <v>60994</v>
      </c>
      <c r="F6" s="99">
        <v>102089</v>
      </c>
      <c r="G6" s="99">
        <v>279</v>
      </c>
      <c r="H6" s="99">
        <v>475.98</v>
      </c>
      <c r="I6" s="99">
        <v>3934</v>
      </c>
      <c r="J6" s="99">
        <v>22188.31</v>
      </c>
      <c r="K6" s="99">
        <f t="shared" ref="K6:K63" si="0">C6+G6+I6</f>
        <v>103087</v>
      </c>
      <c r="L6" s="99">
        <f t="shared" ref="L6:L63" si="1">D6+H6+J6</f>
        <v>211935.61000000002</v>
      </c>
      <c r="M6" s="100">
        <f>L6*100/'CD Ratio_3(i)'!F6</f>
        <v>29.388520573361195</v>
      </c>
      <c r="O6" s="62">
        <v>103780</v>
      </c>
      <c r="P6" s="111">
        <v>209045</v>
      </c>
      <c r="Q6" s="111">
        <f>K6-O6</f>
        <v>-693</v>
      </c>
      <c r="R6" s="111">
        <f>L6-P6</f>
        <v>2890.6100000000151</v>
      </c>
      <c r="T6" s="111">
        <f>R6/100</f>
        <v>28.906100000000151</v>
      </c>
    </row>
    <row r="7" spans="1:20" x14ac:dyDescent="0.2">
      <c r="A7" s="57">
        <v>2</v>
      </c>
      <c r="B7" s="98" t="s">
        <v>56</v>
      </c>
      <c r="C7" s="99">
        <v>1311</v>
      </c>
      <c r="D7" s="99">
        <v>2609</v>
      </c>
      <c r="E7" s="99">
        <v>1206</v>
      </c>
      <c r="F7" s="99">
        <v>2382.2399999999998</v>
      </c>
      <c r="G7" s="99">
        <v>0</v>
      </c>
      <c r="H7" s="99">
        <v>0</v>
      </c>
      <c r="I7" s="99">
        <v>7</v>
      </c>
      <c r="J7" s="99">
        <v>4797.67</v>
      </c>
      <c r="K7" s="99">
        <f t="shared" si="0"/>
        <v>1318</v>
      </c>
      <c r="L7" s="99">
        <f t="shared" si="1"/>
        <v>7406.67</v>
      </c>
      <c r="M7" s="100">
        <f>L7*100/'CD Ratio_3(i)'!F7</f>
        <v>11.608803962497833</v>
      </c>
      <c r="O7" s="62">
        <v>1367</v>
      </c>
      <c r="P7" s="111">
        <v>5519.77</v>
      </c>
      <c r="Q7" s="111">
        <f t="shared" ref="Q7:Q63" si="2">K7-O7</f>
        <v>-49</v>
      </c>
      <c r="R7" s="111">
        <f t="shared" ref="R7:R63" si="3">L7-P7</f>
        <v>1886.8999999999996</v>
      </c>
      <c r="T7" s="111">
        <f t="shared" ref="T7:T63" si="4">R7/100</f>
        <v>18.868999999999996</v>
      </c>
    </row>
    <row r="8" spans="1:20" x14ac:dyDescent="0.2">
      <c r="A8" s="57">
        <v>3</v>
      </c>
      <c r="B8" s="98" t="s">
        <v>57</v>
      </c>
      <c r="C8" s="99">
        <v>40212</v>
      </c>
      <c r="D8" s="99">
        <v>98277</v>
      </c>
      <c r="E8" s="99">
        <v>33545</v>
      </c>
      <c r="F8" s="99">
        <v>57819</v>
      </c>
      <c r="G8" s="99">
        <v>4588</v>
      </c>
      <c r="H8" s="99">
        <v>23146</v>
      </c>
      <c r="I8" s="99">
        <v>1735</v>
      </c>
      <c r="J8" s="99">
        <v>27225</v>
      </c>
      <c r="K8" s="99">
        <f t="shared" si="0"/>
        <v>46535</v>
      </c>
      <c r="L8" s="99">
        <f t="shared" si="1"/>
        <v>148648</v>
      </c>
      <c r="M8" s="100">
        <f>L8*100/'CD Ratio_3(i)'!F8</f>
        <v>21.51746100676727</v>
      </c>
      <c r="O8" s="62">
        <v>46049</v>
      </c>
      <c r="P8" s="111">
        <v>147440</v>
      </c>
      <c r="Q8" s="111">
        <f t="shared" si="2"/>
        <v>486</v>
      </c>
      <c r="R8" s="111">
        <f t="shared" si="3"/>
        <v>1208</v>
      </c>
      <c r="T8" s="111">
        <f t="shared" si="4"/>
        <v>12.08</v>
      </c>
    </row>
    <row r="9" spans="1:20" x14ac:dyDescent="0.2">
      <c r="A9" s="57">
        <v>4</v>
      </c>
      <c r="B9" s="98" t="s">
        <v>58</v>
      </c>
      <c r="C9" s="99">
        <v>369960</v>
      </c>
      <c r="D9" s="99">
        <v>795674</v>
      </c>
      <c r="E9" s="99">
        <v>690925</v>
      </c>
      <c r="F9" s="99">
        <v>675202</v>
      </c>
      <c r="G9" s="99">
        <v>16862</v>
      </c>
      <c r="H9" s="99">
        <v>29178</v>
      </c>
      <c r="I9" s="99">
        <v>37341</v>
      </c>
      <c r="J9" s="99">
        <v>88715</v>
      </c>
      <c r="K9" s="99">
        <f t="shared" si="0"/>
        <v>424163</v>
      </c>
      <c r="L9" s="99">
        <f t="shared" si="1"/>
        <v>913567</v>
      </c>
      <c r="M9" s="100">
        <f>L9*100/'CD Ratio_3(i)'!F9</f>
        <v>52.400164502080081</v>
      </c>
      <c r="O9" s="62">
        <v>477714</v>
      </c>
      <c r="P9" s="111">
        <v>999074</v>
      </c>
      <c r="Q9" s="111">
        <f t="shared" si="2"/>
        <v>-53551</v>
      </c>
      <c r="R9" s="111">
        <f t="shared" si="3"/>
        <v>-85507</v>
      </c>
      <c r="T9" s="111">
        <f t="shared" si="4"/>
        <v>-855.07</v>
      </c>
    </row>
    <row r="10" spans="1:20" x14ac:dyDescent="0.2">
      <c r="A10" s="57">
        <v>5</v>
      </c>
      <c r="B10" s="98" t="s">
        <v>59</v>
      </c>
      <c r="C10" s="99">
        <v>49467</v>
      </c>
      <c r="D10" s="99">
        <v>54563.94</v>
      </c>
      <c r="E10" s="99">
        <v>43051</v>
      </c>
      <c r="F10" s="99">
        <v>44279.01</v>
      </c>
      <c r="G10" s="99">
        <v>333</v>
      </c>
      <c r="H10" s="99">
        <v>16427</v>
      </c>
      <c r="I10" s="99">
        <v>1209</v>
      </c>
      <c r="J10" s="99">
        <v>4294.3999999999996</v>
      </c>
      <c r="K10" s="99">
        <f t="shared" si="0"/>
        <v>51009</v>
      </c>
      <c r="L10" s="99">
        <f t="shared" si="1"/>
        <v>75285.34</v>
      </c>
      <c r="M10" s="100">
        <f>L10*100/'CD Ratio_3(i)'!F10</f>
        <v>25.302934770918476</v>
      </c>
      <c r="O10" s="62">
        <v>51015</v>
      </c>
      <c r="P10" s="111">
        <v>94770</v>
      </c>
      <c r="Q10" s="111">
        <f t="shared" si="2"/>
        <v>-6</v>
      </c>
      <c r="R10" s="111">
        <f t="shared" si="3"/>
        <v>-19484.660000000003</v>
      </c>
      <c r="T10" s="111">
        <f t="shared" si="4"/>
        <v>-194.84660000000002</v>
      </c>
    </row>
    <row r="11" spans="1:20" x14ac:dyDescent="0.2">
      <c r="A11" s="57">
        <v>6</v>
      </c>
      <c r="B11" s="98" t="s">
        <v>242</v>
      </c>
      <c r="C11" s="99">
        <v>1</v>
      </c>
      <c r="D11" s="99">
        <v>0.72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f t="shared" si="0"/>
        <v>1</v>
      </c>
      <c r="L11" s="99">
        <f t="shared" si="1"/>
        <v>0.72</v>
      </c>
      <c r="M11" s="100">
        <f>L11*100/'CD Ratio_3(i)'!F11</f>
        <v>0.11009174311926606</v>
      </c>
      <c r="O11" s="62">
        <v>0</v>
      </c>
      <c r="P11" s="111">
        <v>0</v>
      </c>
      <c r="Q11" s="111">
        <f t="shared" si="2"/>
        <v>1</v>
      </c>
      <c r="R11" s="111">
        <f t="shared" si="3"/>
        <v>0.72</v>
      </c>
      <c r="T11" s="111">
        <f t="shared" si="4"/>
        <v>7.1999999999999998E-3</v>
      </c>
    </row>
    <row r="12" spans="1:20" x14ac:dyDescent="0.2">
      <c r="A12" s="57">
        <v>7</v>
      </c>
      <c r="B12" s="101" t="s">
        <v>60</v>
      </c>
      <c r="C12" s="99">
        <v>46338</v>
      </c>
      <c r="D12" s="99">
        <v>112305</v>
      </c>
      <c r="E12" s="99">
        <v>45478</v>
      </c>
      <c r="F12" s="99">
        <v>70137</v>
      </c>
      <c r="G12" s="99">
        <v>0</v>
      </c>
      <c r="H12" s="99">
        <v>0</v>
      </c>
      <c r="I12" s="99">
        <v>61</v>
      </c>
      <c r="J12" s="99">
        <v>4974</v>
      </c>
      <c r="K12" s="99">
        <f t="shared" si="0"/>
        <v>46399</v>
      </c>
      <c r="L12" s="99">
        <f t="shared" si="1"/>
        <v>117279</v>
      </c>
      <c r="M12" s="100">
        <f>L12*100/'CD Ratio_3(i)'!F12</f>
        <v>27.979931003879244</v>
      </c>
      <c r="O12" s="62">
        <v>46059</v>
      </c>
      <c r="P12" s="111">
        <v>116421</v>
      </c>
      <c r="Q12" s="111">
        <f t="shared" si="2"/>
        <v>340</v>
      </c>
      <c r="R12" s="111">
        <f t="shared" si="3"/>
        <v>858</v>
      </c>
      <c r="T12" s="111">
        <f t="shared" si="4"/>
        <v>8.58</v>
      </c>
    </row>
    <row r="13" spans="1:20" x14ac:dyDescent="0.2">
      <c r="A13" s="57">
        <v>8</v>
      </c>
      <c r="B13" s="98" t="s">
        <v>61</v>
      </c>
      <c r="C13" s="99">
        <v>303935</v>
      </c>
      <c r="D13" s="99">
        <v>442180</v>
      </c>
      <c r="E13" s="99">
        <v>236933</v>
      </c>
      <c r="F13" s="99">
        <v>325623</v>
      </c>
      <c r="G13" s="99">
        <v>484</v>
      </c>
      <c r="H13" s="99">
        <v>25210</v>
      </c>
      <c r="I13" s="99">
        <v>686</v>
      </c>
      <c r="J13" s="99">
        <v>32741</v>
      </c>
      <c r="K13" s="99">
        <f t="shared" si="0"/>
        <v>305105</v>
      </c>
      <c r="L13" s="99">
        <f t="shared" si="1"/>
        <v>500131</v>
      </c>
      <c r="M13" s="100">
        <f>L13*100/'CD Ratio_3(i)'!F13</f>
        <v>42.123885904491416</v>
      </c>
      <c r="O13" s="62">
        <v>304681</v>
      </c>
      <c r="P13" s="111">
        <v>527199</v>
      </c>
      <c r="Q13" s="111">
        <f t="shared" si="2"/>
        <v>424</v>
      </c>
      <c r="R13" s="111">
        <f t="shared" si="3"/>
        <v>-27068</v>
      </c>
      <c r="T13" s="111">
        <f t="shared" si="4"/>
        <v>-270.68</v>
      </c>
    </row>
    <row r="14" spans="1:20" x14ac:dyDescent="0.2">
      <c r="A14" s="57">
        <v>9</v>
      </c>
      <c r="B14" s="98" t="s">
        <v>48</v>
      </c>
      <c r="C14" s="99">
        <v>12387</v>
      </c>
      <c r="D14" s="99">
        <v>37026.589999999997</v>
      </c>
      <c r="E14" s="99">
        <v>7770</v>
      </c>
      <c r="F14" s="99">
        <v>21950</v>
      </c>
      <c r="G14" s="99">
        <v>3</v>
      </c>
      <c r="H14" s="99">
        <v>97</v>
      </c>
      <c r="I14" s="99">
        <v>11</v>
      </c>
      <c r="J14" s="99">
        <v>764.69</v>
      </c>
      <c r="K14" s="99">
        <f t="shared" si="0"/>
        <v>12401</v>
      </c>
      <c r="L14" s="99">
        <f t="shared" si="1"/>
        <v>37888.28</v>
      </c>
      <c r="M14" s="100">
        <f>L14*100/'CD Ratio_3(i)'!F14</f>
        <v>22.835682901691811</v>
      </c>
      <c r="O14" s="62">
        <v>11338</v>
      </c>
      <c r="P14" s="111">
        <v>34578</v>
      </c>
      <c r="Q14" s="111">
        <f t="shared" si="2"/>
        <v>1063</v>
      </c>
      <c r="R14" s="111">
        <f t="shared" si="3"/>
        <v>3310.2799999999988</v>
      </c>
      <c r="T14" s="111">
        <f t="shared" si="4"/>
        <v>33.102799999999988</v>
      </c>
    </row>
    <row r="15" spans="1:20" x14ac:dyDescent="0.2">
      <c r="A15" s="57">
        <v>10</v>
      </c>
      <c r="B15" s="98" t="s">
        <v>49</v>
      </c>
      <c r="C15" s="99">
        <v>10833</v>
      </c>
      <c r="D15" s="99">
        <v>20982</v>
      </c>
      <c r="E15" s="99">
        <v>7882</v>
      </c>
      <c r="F15" s="99">
        <v>15310</v>
      </c>
      <c r="G15" s="99">
        <v>179</v>
      </c>
      <c r="H15" s="99">
        <v>259</v>
      </c>
      <c r="I15" s="99">
        <v>31</v>
      </c>
      <c r="J15" s="99">
        <v>142</v>
      </c>
      <c r="K15" s="99">
        <f t="shared" si="0"/>
        <v>11043</v>
      </c>
      <c r="L15" s="99">
        <f t="shared" si="1"/>
        <v>21383</v>
      </c>
      <c r="M15" s="100">
        <f>L15*100/'CD Ratio_3(i)'!F15</f>
        <v>14.086576151043829</v>
      </c>
      <c r="O15" s="62">
        <v>11013</v>
      </c>
      <c r="P15" s="111">
        <v>22018</v>
      </c>
      <c r="Q15" s="111">
        <f t="shared" si="2"/>
        <v>30</v>
      </c>
      <c r="R15" s="111">
        <f t="shared" si="3"/>
        <v>-635</v>
      </c>
      <c r="T15" s="111">
        <f t="shared" si="4"/>
        <v>-6.35</v>
      </c>
    </row>
    <row r="16" spans="1:20" x14ac:dyDescent="0.2">
      <c r="A16" s="57">
        <v>11</v>
      </c>
      <c r="B16" s="98" t="s">
        <v>81</v>
      </c>
      <c r="C16" s="99">
        <v>27044</v>
      </c>
      <c r="D16" s="99">
        <v>47398</v>
      </c>
      <c r="E16" s="99">
        <v>15407</v>
      </c>
      <c r="F16" s="99">
        <v>31936</v>
      </c>
      <c r="G16" s="99">
        <v>33</v>
      </c>
      <c r="H16" s="99">
        <v>767</v>
      </c>
      <c r="I16" s="99">
        <v>46</v>
      </c>
      <c r="J16" s="99">
        <v>10515</v>
      </c>
      <c r="K16" s="99">
        <f t="shared" si="0"/>
        <v>27123</v>
      </c>
      <c r="L16" s="99">
        <f t="shared" si="1"/>
        <v>58680</v>
      </c>
      <c r="M16" s="100">
        <f>L16*100/'CD Ratio_3(i)'!F16</f>
        <v>16.193751000380836</v>
      </c>
      <c r="O16" s="62">
        <v>27782</v>
      </c>
      <c r="P16" s="111">
        <v>51368</v>
      </c>
      <c r="Q16" s="111">
        <f t="shared" si="2"/>
        <v>-659</v>
      </c>
      <c r="R16" s="111">
        <f t="shared" si="3"/>
        <v>7312</v>
      </c>
      <c r="T16" s="111">
        <f t="shared" si="4"/>
        <v>73.12</v>
      </c>
    </row>
    <row r="17" spans="1:20" x14ac:dyDescent="0.2">
      <c r="A17" s="57">
        <v>12</v>
      </c>
      <c r="B17" s="98" t="s">
        <v>62</v>
      </c>
      <c r="C17" s="99">
        <v>2652</v>
      </c>
      <c r="D17" s="99">
        <v>4330.96</v>
      </c>
      <c r="E17" s="99">
        <v>2104</v>
      </c>
      <c r="F17" s="99">
        <v>3312.69</v>
      </c>
      <c r="G17" s="99">
        <v>0</v>
      </c>
      <c r="H17" s="99">
        <v>0</v>
      </c>
      <c r="I17" s="99">
        <v>0</v>
      </c>
      <c r="J17" s="99">
        <v>0</v>
      </c>
      <c r="K17" s="99">
        <f t="shared" si="0"/>
        <v>2652</v>
      </c>
      <c r="L17" s="99">
        <f t="shared" si="1"/>
        <v>4330.96</v>
      </c>
      <c r="M17" s="100">
        <f>L17*100/'CD Ratio_3(i)'!F17</f>
        <v>12.34088277876733</v>
      </c>
      <c r="O17" s="62">
        <v>2530</v>
      </c>
      <c r="P17" s="111">
        <v>4115</v>
      </c>
      <c r="Q17" s="111">
        <f t="shared" si="2"/>
        <v>122</v>
      </c>
      <c r="R17" s="111">
        <f t="shared" si="3"/>
        <v>215.96000000000004</v>
      </c>
      <c r="T17" s="111">
        <f t="shared" si="4"/>
        <v>2.1596000000000002</v>
      </c>
    </row>
    <row r="18" spans="1:20" x14ac:dyDescent="0.2">
      <c r="A18" s="57">
        <v>13</v>
      </c>
      <c r="B18" s="98" t="s">
        <v>63</v>
      </c>
      <c r="C18" s="99">
        <v>2471</v>
      </c>
      <c r="D18" s="99">
        <v>5754</v>
      </c>
      <c r="E18" s="99">
        <v>2025</v>
      </c>
      <c r="F18" s="99">
        <v>3797</v>
      </c>
      <c r="G18" s="99">
        <v>3</v>
      </c>
      <c r="H18" s="99">
        <v>73</v>
      </c>
      <c r="I18" s="99">
        <v>284</v>
      </c>
      <c r="J18" s="99">
        <v>2290</v>
      </c>
      <c r="K18" s="99">
        <f t="shared" si="0"/>
        <v>2758</v>
      </c>
      <c r="L18" s="99">
        <f t="shared" si="1"/>
        <v>8117</v>
      </c>
      <c r="M18" s="100">
        <f>L18*100/'CD Ratio_3(i)'!F18</f>
        <v>8.4037354536795466</v>
      </c>
      <c r="O18" s="62">
        <v>2735</v>
      </c>
      <c r="P18" s="111">
        <v>8276</v>
      </c>
      <c r="Q18" s="111">
        <f t="shared" si="2"/>
        <v>23</v>
      </c>
      <c r="R18" s="111">
        <f t="shared" si="3"/>
        <v>-159</v>
      </c>
      <c r="T18" s="111">
        <f t="shared" si="4"/>
        <v>-1.59</v>
      </c>
    </row>
    <row r="19" spans="1:20" x14ac:dyDescent="0.2">
      <c r="A19" s="57">
        <v>14</v>
      </c>
      <c r="B19" s="98" t="s">
        <v>207</v>
      </c>
      <c r="C19" s="99">
        <v>10578</v>
      </c>
      <c r="D19" s="99">
        <v>28455</v>
      </c>
      <c r="E19" s="99">
        <v>8539</v>
      </c>
      <c r="F19" s="99">
        <v>21710</v>
      </c>
      <c r="G19" s="99">
        <v>129</v>
      </c>
      <c r="H19" s="99">
        <v>1486</v>
      </c>
      <c r="I19" s="99">
        <v>179</v>
      </c>
      <c r="J19" s="99">
        <v>22237</v>
      </c>
      <c r="K19" s="99">
        <f t="shared" si="0"/>
        <v>10886</v>
      </c>
      <c r="L19" s="99">
        <f t="shared" si="1"/>
        <v>52178</v>
      </c>
      <c r="M19" s="100">
        <f>L19*100/'CD Ratio_3(i)'!F19</f>
        <v>23.825663250291154</v>
      </c>
      <c r="O19" s="62">
        <v>10974</v>
      </c>
      <c r="P19" s="111">
        <v>50770.17</v>
      </c>
      <c r="Q19" s="111">
        <f t="shared" si="2"/>
        <v>-88</v>
      </c>
      <c r="R19" s="111">
        <f t="shared" si="3"/>
        <v>1407.8300000000017</v>
      </c>
      <c r="T19" s="111">
        <f t="shared" si="4"/>
        <v>14.078300000000018</v>
      </c>
    </row>
    <row r="20" spans="1:20" x14ac:dyDescent="0.2">
      <c r="A20" s="57">
        <v>15</v>
      </c>
      <c r="B20" s="102" t="s">
        <v>208</v>
      </c>
      <c r="C20" s="99">
        <v>5317</v>
      </c>
      <c r="D20" s="99">
        <v>10509.79</v>
      </c>
      <c r="E20" s="99">
        <v>4376</v>
      </c>
      <c r="F20" s="99">
        <v>8374.84</v>
      </c>
      <c r="G20" s="99">
        <v>0</v>
      </c>
      <c r="H20" s="99">
        <v>0</v>
      </c>
      <c r="I20" s="99">
        <v>0</v>
      </c>
      <c r="J20" s="99">
        <v>0</v>
      </c>
      <c r="K20" s="99">
        <f t="shared" si="0"/>
        <v>5317</v>
      </c>
      <c r="L20" s="99">
        <f t="shared" si="1"/>
        <v>10509.79</v>
      </c>
      <c r="M20" s="100">
        <f>L20*100/'CD Ratio_3(i)'!F20</f>
        <v>16.849362725450902</v>
      </c>
      <c r="O20" s="62">
        <v>5225</v>
      </c>
      <c r="P20" s="111">
        <v>11116.12</v>
      </c>
      <c r="Q20" s="111">
        <f t="shared" si="2"/>
        <v>92</v>
      </c>
      <c r="R20" s="111">
        <f t="shared" si="3"/>
        <v>-606.32999999999993</v>
      </c>
      <c r="T20" s="111">
        <f t="shared" si="4"/>
        <v>-6.063299999999999</v>
      </c>
    </row>
    <row r="21" spans="1:20" x14ac:dyDescent="0.2">
      <c r="A21" s="57">
        <v>16</v>
      </c>
      <c r="B21" s="98" t="s">
        <v>64</v>
      </c>
      <c r="C21" s="99">
        <v>167185</v>
      </c>
      <c r="D21" s="99">
        <v>265947</v>
      </c>
      <c r="E21" s="99">
        <v>166728</v>
      </c>
      <c r="F21" s="99">
        <v>215339</v>
      </c>
      <c r="G21" s="99">
        <v>7876</v>
      </c>
      <c r="H21" s="99">
        <v>10886</v>
      </c>
      <c r="I21" s="99">
        <v>25563</v>
      </c>
      <c r="J21" s="99">
        <v>41406</v>
      </c>
      <c r="K21" s="99">
        <f t="shared" si="0"/>
        <v>200624</v>
      </c>
      <c r="L21" s="99">
        <f t="shared" si="1"/>
        <v>318239</v>
      </c>
      <c r="M21" s="100">
        <f>L21*100/'CD Ratio_3(i)'!F21</f>
        <v>23.611071953751118</v>
      </c>
      <c r="O21" s="62">
        <v>198587</v>
      </c>
      <c r="P21" s="111">
        <v>327402</v>
      </c>
      <c r="Q21" s="111">
        <f t="shared" si="2"/>
        <v>2037</v>
      </c>
      <c r="R21" s="111">
        <f t="shared" si="3"/>
        <v>-9163</v>
      </c>
      <c r="T21" s="111">
        <f t="shared" si="4"/>
        <v>-91.63</v>
      </c>
    </row>
    <row r="22" spans="1:20" x14ac:dyDescent="0.2">
      <c r="A22" s="57">
        <v>17</v>
      </c>
      <c r="B22" s="98" t="s">
        <v>69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f t="shared" si="0"/>
        <v>0</v>
      </c>
      <c r="L22" s="99">
        <f t="shared" si="1"/>
        <v>0</v>
      </c>
      <c r="M22" s="100">
        <f>L22*100/'CD Ratio_3(i)'!F22</f>
        <v>0</v>
      </c>
      <c r="O22" s="62">
        <v>0</v>
      </c>
      <c r="P22" s="111">
        <v>0</v>
      </c>
      <c r="Q22" s="111">
        <f t="shared" si="2"/>
        <v>0</v>
      </c>
      <c r="R22" s="111">
        <f t="shared" si="3"/>
        <v>0</v>
      </c>
      <c r="T22" s="111">
        <f t="shared" si="4"/>
        <v>0</v>
      </c>
    </row>
    <row r="23" spans="1:20" x14ac:dyDescent="0.2">
      <c r="A23" s="57">
        <v>18</v>
      </c>
      <c r="B23" s="107" t="s">
        <v>209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f t="shared" si="0"/>
        <v>0</v>
      </c>
      <c r="L23" s="99">
        <f t="shared" si="1"/>
        <v>0</v>
      </c>
      <c r="M23" s="100">
        <f>L23*100/'CD Ratio_3(i)'!F23</f>
        <v>0</v>
      </c>
      <c r="O23" s="62">
        <v>0</v>
      </c>
      <c r="P23" s="111">
        <v>0</v>
      </c>
      <c r="Q23" s="111">
        <f t="shared" si="2"/>
        <v>0</v>
      </c>
      <c r="R23" s="111">
        <f t="shared" si="3"/>
        <v>0</v>
      </c>
      <c r="T23" s="111">
        <f t="shared" si="4"/>
        <v>0</v>
      </c>
    </row>
    <row r="24" spans="1:20" x14ac:dyDescent="0.2">
      <c r="A24" s="57">
        <v>19</v>
      </c>
      <c r="B24" s="98" t="s">
        <v>210</v>
      </c>
      <c r="C24" s="99">
        <v>6</v>
      </c>
      <c r="D24" s="99">
        <v>37.979999999999997</v>
      </c>
      <c r="E24" s="99">
        <v>0</v>
      </c>
      <c r="F24" s="99">
        <v>0</v>
      </c>
      <c r="G24" s="99">
        <v>4</v>
      </c>
      <c r="H24" s="99">
        <v>893.57</v>
      </c>
      <c r="I24" s="99">
        <v>1</v>
      </c>
      <c r="J24" s="99">
        <v>19.559999999999999</v>
      </c>
      <c r="K24" s="99">
        <f t="shared" si="0"/>
        <v>11</v>
      </c>
      <c r="L24" s="99">
        <f t="shared" si="1"/>
        <v>951.11</v>
      </c>
      <c r="M24" s="100">
        <f>L24*100/'CD Ratio_3(i)'!F24</f>
        <v>1.3573130877798867</v>
      </c>
      <c r="O24" s="62">
        <v>13</v>
      </c>
      <c r="P24" s="111">
        <v>944.43</v>
      </c>
      <c r="Q24" s="111">
        <f t="shared" si="2"/>
        <v>-2</v>
      </c>
      <c r="R24" s="111">
        <f t="shared" si="3"/>
        <v>6.6800000000000637</v>
      </c>
      <c r="T24" s="111">
        <f t="shared" si="4"/>
        <v>6.6800000000000637E-2</v>
      </c>
    </row>
    <row r="25" spans="1:20" x14ac:dyDescent="0.2">
      <c r="A25" s="57">
        <v>20</v>
      </c>
      <c r="B25" s="222" t="s">
        <v>211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f t="shared" si="0"/>
        <v>0</v>
      </c>
      <c r="L25" s="99">
        <f t="shared" si="1"/>
        <v>0</v>
      </c>
      <c r="M25" s="100">
        <f>L25*100/'CD Ratio_3(i)'!F25</f>
        <v>0</v>
      </c>
      <c r="O25" s="62">
        <v>0</v>
      </c>
      <c r="P25" s="111">
        <v>0</v>
      </c>
      <c r="Q25" s="111">
        <f t="shared" si="2"/>
        <v>0</v>
      </c>
      <c r="R25" s="111">
        <f t="shared" si="3"/>
        <v>0</v>
      </c>
      <c r="T25" s="111">
        <f t="shared" si="4"/>
        <v>0</v>
      </c>
    </row>
    <row r="26" spans="1:20" x14ac:dyDescent="0.2">
      <c r="A26" s="57">
        <v>21</v>
      </c>
      <c r="B26" s="98" t="s">
        <v>212</v>
      </c>
      <c r="C26" s="99">
        <v>296</v>
      </c>
      <c r="D26" s="99">
        <v>249</v>
      </c>
      <c r="E26" s="99">
        <v>222</v>
      </c>
      <c r="F26" s="99">
        <v>154</v>
      </c>
      <c r="G26" s="99">
        <v>0</v>
      </c>
      <c r="H26" s="99">
        <v>0</v>
      </c>
      <c r="I26" s="99">
        <v>74</v>
      </c>
      <c r="J26" s="99">
        <v>95</v>
      </c>
      <c r="K26" s="99">
        <f t="shared" si="0"/>
        <v>370</v>
      </c>
      <c r="L26" s="99">
        <f t="shared" si="1"/>
        <v>344</v>
      </c>
      <c r="M26" s="100">
        <f>L26*100/'CD Ratio_3(i)'!F26</f>
        <v>0.57948553812981152</v>
      </c>
      <c r="O26" s="62">
        <v>0</v>
      </c>
      <c r="P26" s="111">
        <v>0</v>
      </c>
      <c r="Q26" s="111">
        <f t="shared" si="2"/>
        <v>370</v>
      </c>
      <c r="R26" s="111">
        <f t="shared" si="3"/>
        <v>344</v>
      </c>
      <c r="T26" s="111">
        <f t="shared" si="4"/>
        <v>3.44</v>
      </c>
    </row>
    <row r="27" spans="1:20" x14ac:dyDescent="0.2">
      <c r="A27" s="57">
        <v>22</v>
      </c>
      <c r="B27" s="98" t="s">
        <v>70</v>
      </c>
      <c r="C27" s="99">
        <v>639299</v>
      </c>
      <c r="D27" s="99">
        <v>1119596</v>
      </c>
      <c r="E27" s="99">
        <v>544551</v>
      </c>
      <c r="F27" s="99">
        <v>969874</v>
      </c>
      <c r="G27" s="99">
        <v>677</v>
      </c>
      <c r="H27" s="99">
        <v>3880</v>
      </c>
      <c r="I27" s="99">
        <v>29633</v>
      </c>
      <c r="J27" s="99">
        <v>57180</v>
      </c>
      <c r="K27" s="99">
        <f t="shared" si="0"/>
        <v>669609</v>
      </c>
      <c r="L27" s="99">
        <f t="shared" si="1"/>
        <v>1180656</v>
      </c>
      <c r="M27" s="100">
        <f>L27*100/'CD Ratio_3(i)'!F27</f>
        <v>20.943026530004794</v>
      </c>
      <c r="O27" s="62">
        <v>710666</v>
      </c>
      <c r="P27" s="111">
        <v>1244060</v>
      </c>
      <c r="Q27" s="111">
        <f t="shared" si="2"/>
        <v>-41057</v>
      </c>
      <c r="R27" s="111">
        <f t="shared" si="3"/>
        <v>-63404</v>
      </c>
      <c r="T27" s="111">
        <f t="shared" si="4"/>
        <v>-634.04</v>
      </c>
    </row>
    <row r="28" spans="1:20" x14ac:dyDescent="0.2">
      <c r="A28" s="57">
        <v>23</v>
      </c>
      <c r="B28" s="98" t="s">
        <v>65</v>
      </c>
      <c r="C28" s="99">
        <v>8587</v>
      </c>
      <c r="D28" s="99">
        <v>12171</v>
      </c>
      <c r="E28" s="99">
        <v>6757</v>
      </c>
      <c r="F28" s="99">
        <v>9343</v>
      </c>
      <c r="G28" s="99">
        <v>23</v>
      </c>
      <c r="H28" s="99">
        <v>497</v>
      </c>
      <c r="I28" s="99">
        <v>32</v>
      </c>
      <c r="J28" s="99">
        <v>322</v>
      </c>
      <c r="K28" s="99">
        <f t="shared" si="0"/>
        <v>8642</v>
      </c>
      <c r="L28" s="99">
        <f t="shared" si="1"/>
        <v>12990</v>
      </c>
      <c r="M28" s="100">
        <f>L28*100/'CD Ratio_3(i)'!F28</f>
        <v>8.851064989574958</v>
      </c>
      <c r="O28" s="62">
        <v>8373</v>
      </c>
      <c r="P28" s="111">
        <v>12767</v>
      </c>
      <c r="Q28" s="111">
        <f t="shared" si="2"/>
        <v>269</v>
      </c>
      <c r="R28" s="111">
        <f t="shared" si="3"/>
        <v>223</v>
      </c>
      <c r="T28" s="111">
        <f t="shared" si="4"/>
        <v>2.23</v>
      </c>
    </row>
    <row r="29" spans="1:20" x14ac:dyDescent="0.2">
      <c r="A29" s="57">
        <v>24</v>
      </c>
      <c r="B29" s="102" t="s">
        <v>213</v>
      </c>
      <c r="C29" s="99">
        <v>93109</v>
      </c>
      <c r="D29" s="99">
        <v>94693</v>
      </c>
      <c r="E29" s="99">
        <v>86002</v>
      </c>
      <c r="F29" s="99">
        <v>95112</v>
      </c>
      <c r="G29" s="99">
        <v>3988</v>
      </c>
      <c r="H29" s="99">
        <v>10494</v>
      </c>
      <c r="I29" s="99">
        <v>2201</v>
      </c>
      <c r="J29" s="99">
        <v>2303</v>
      </c>
      <c r="K29" s="99">
        <f t="shared" si="0"/>
        <v>99298</v>
      </c>
      <c r="L29" s="99">
        <f t="shared" si="1"/>
        <v>107490</v>
      </c>
      <c r="M29" s="100">
        <f>L29*100/'CD Ratio_3(i)'!F29</f>
        <v>25.183828004177762</v>
      </c>
      <c r="O29" s="62">
        <v>102982</v>
      </c>
      <c r="P29" s="111">
        <v>126543</v>
      </c>
      <c r="Q29" s="111">
        <f t="shared" si="2"/>
        <v>-3684</v>
      </c>
      <c r="R29" s="111">
        <f t="shared" si="3"/>
        <v>-19053</v>
      </c>
      <c r="T29" s="111">
        <f t="shared" si="4"/>
        <v>-190.53</v>
      </c>
    </row>
    <row r="30" spans="1:20" x14ac:dyDescent="0.2">
      <c r="A30" s="57">
        <v>25</v>
      </c>
      <c r="B30" s="98" t="s">
        <v>66</v>
      </c>
      <c r="C30" s="99">
        <v>121942</v>
      </c>
      <c r="D30" s="99">
        <v>240297</v>
      </c>
      <c r="E30" s="99">
        <v>105921</v>
      </c>
      <c r="F30" s="99">
        <v>204228</v>
      </c>
      <c r="G30" s="99">
        <v>1037</v>
      </c>
      <c r="H30" s="99">
        <v>11257</v>
      </c>
      <c r="I30" s="99">
        <v>1473</v>
      </c>
      <c r="J30" s="99">
        <v>65097</v>
      </c>
      <c r="K30" s="99">
        <f t="shared" si="0"/>
        <v>124452</v>
      </c>
      <c r="L30" s="99">
        <f t="shared" si="1"/>
        <v>316651</v>
      </c>
      <c r="M30" s="100">
        <f>L30*100/'CD Ratio_3(i)'!F30</f>
        <v>34.473106924538264</v>
      </c>
      <c r="O30" s="62">
        <v>122888</v>
      </c>
      <c r="P30" s="111">
        <v>307343.45999999996</v>
      </c>
      <c r="Q30" s="111">
        <f t="shared" si="2"/>
        <v>1564</v>
      </c>
      <c r="R30" s="111">
        <f t="shared" si="3"/>
        <v>9307.5400000000373</v>
      </c>
      <c r="T30" s="111">
        <f t="shared" si="4"/>
        <v>93.075400000000371</v>
      </c>
    </row>
    <row r="31" spans="1:20" x14ac:dyDescent="0.2">
      <c r="A31" s="57">
        <v>26</v>
      </c>
      <c r="B31" s="223" t="s">
        <v>67</v>
      </c>
      <c r="C31" s="99">
        <v>401</v>
      </c>
      <c r="D31" s="99">
        <v>807</v>
      </c>
      <c r="E31" s="99">
        <v>95</v>
      </c>
      <c r="F31" s="99">
        <v>229</v>
      </c>
      <c r="G31" s="99">
        <v>0</v>
      </c>
      <c r="H31" s="99">
        <v>0</v>
      </c>
      <c r="I31" s="99">
        <v>25</v>
      </c>
      <c r="J31" s="99">
        <v>180</v>
      </c>
      <c r="K31" s="99">
        <f t="shared" si="0"/>
        <v>426</v>
      </c>
      <c r="L31" s="99">
        <f t="shared" si="1"/>
        <v>987</v>
      </c>
      <c r="M31" s="100">
        <f>L31*100/'CD Ratio_3(i)'!F31</f>
        <v>3.7307227094042941</v>
      </c>
      <c r="O31" s="62">
        <v>353</v>
      </c>
      <c r="P31" s="111">
        <v>1112</v>
      </c>
      <c r="Q31" s="111">
        <f t="shared" si="2"/>
        <v>73</v>
      </c>
      <c r="R31" s="111">
        <f t="shared" si="3"/>
        <v>-125</v>
      </c>
      <c r="T31" s="111">
        <f t="shared" si="4"/>
        <v>-1.25</v>
      </c>
    </row>
    <row r="32" spans="1:20" x14ac:dyDescent="0.2">
      <c r="A32" s="57">
        <v>27</v>
      </c>
      <c r="B32" s="98" t="s">
        <v>50</v>
      </c>
      <c r="C32" s="99">
        <v>7499</v>
      </c>
      <c r="D32" s="99">
        <v>14826</v>
      </c>
      <c r="E32" s="99">
        <v>7095</v>
      </c>
      <c r="F32" s="99">
        <v>13742</v>
      </c>
      <c r="G32" s="99">
        <v>357</v>
      </c>
      <c r="H32" s="99">
        <v>196</v>
      </c>
      <c r="I32" s="99">
        <v>655</v>
      </c>
      <c r="J32" s="99">
        <v>315</v>
      </c>
      <c r="K32" s="99">
        <f t="shared" si="0"/>
        <v>8511</v>
      </c>
      <c r="L32" s="99">
        <f t="shared" si="1"/>
        <v>15337</v>
      </c>
      <c r="M32" s="100">
        <f>L32*100/'CD Ratio_3(i)'!F32</f>
        <v>19.45751874452888</v>
      </c>
      <c r="O32" s="62">
        <v>8240</v>
      </c>
      <c r="P32" s="111">
        <v>15650</v>
      </c>
      <c r="Q32" s="111">
        <f t="shared" si="2"/>
        <v>271</v>
      </c>
      <c r="R32" s="111">
        <f t="shared" si="3"/>
        <v>-313</v>
      </c>
      <c r="T32" s="111">
        <f t="shared" si="4"/>
        <v>-3.13</v>
      </c>
    </row>
    <row r="33" spans="1:20" x14ac:dyDescent="0.2">
      <c r="A33" s="59"/>
      <c r="B33" s="105" t="s">
        <v>288</v>
      </c>
      <c r="C33" s="106">
        <f>SUM(C6:C32)</f>
        <v>2019704</v>
      </c>
      <c r="D33" s="106">
        <f t="shared" ref="D33:J33" si="5">SUM(D6:D32)</f>
        <v>3597961.3000000003</v>
      </c>
      <c r="E33" s="106">
        <f t="shared" si="5"/>
        <v>2077606</v>
      </c>
      <c r="F33" s="106">
        <f t="shared" si="5"/>
        <v>2891942.7800000003</v>
      </c>
      <c r="G33" s="106">
        <f t="shared" si="5"/>
        <v>36855</v>
      </c>
      <c r="H33" s="106">
        <f t="shared" si="5"/>
        <v>135222.54999999999</v>
      </c>
      <c r="I33" s="106">
        <f t="shared" si="5"/>
        <v>105181</v>
      </c>
      <c r="J33" s="106">
        <f t="shared" si="5"/>
        <v>387801.63</v>
      </c>
      <c r="K33" s="106">
        <f t="shared" si="0"/>
        <v>2161740</v>
      </c>
      <c r="L33" s="106">
        <f t="shared" si="1"/>
        <v>4120985.48</v>
      </c>
      <c r="M33" s="97">
        <f>L33*100/'CD Ratio_3(i)'!F33</f>
        <v>27.392561331328373</v>
      </c>
      <c r="O33" s="62">
        <v>2254364</v>
      </c>
      <c r="P33" s="111">
        <v>4317531.9499999993</v>
      </c>
      <c r="Q33" s="111">
        <f t="shared" si="2"/>
        <v>-92624</v>
      </c>
      <c r="R33" s="111">
        <f t="shared" si="3"/>
        <v>-196546.46999999927</v>
      </c>
      <c r="T33" s="111">
        <f t="shared" si="4"/>
        <v>-1965.4646999999927</v>
      </c>
    </row>
    <row r="34" spans="1:20" x14ac:dyDescent="0.2">
      <c r="A34" s="57">
        <v>28</v>
      </c>
      <c r="B34" s="58" t="s">
        <v>47</v>
      </c>
      <c r="C34" s="99">
        <v>99960</v>
      </c>
      <c r="D34" s="99">
        <v>68241.350000000006</v>
      </c>
      <c r="E34" s="99">
        <v>4137</v>
      </c>
      <c r="F34" s="99">
        <v>22352.11</v>
      </c>
      <c r="G34" s="99">
        <v>21</v>
      </c>
      <c r="H34" s="99">
        <v>1909.59</v>
      </c>
      <c r="I34" s="99">
        <v>109</v>
      </c>
      <c r="J34" s="99">
        <v>10568.82</v>
      </c>
      <c r="K34" s="99">
        <f t="shared" si="0"/>
        <v>100090</v>
      </c>
      <c r="L34" s="99">
        <f t="shared" si="1"/>
        <v>80719.760000000009</v>
      </c>
      <c r="M34" s="100">
        <f>L34*100/'CD Ratio_3(i)'!F34</f>
        <v>13.702167165782152</v>
      </c>
      <c r="O34" s="62">
        <v>94666</v>
      </c>
      <c r="P34" s="111">
        <v>77662.73</v>
      </c>
      <c r="Q34" s="111">
        <f t="shared" si="2"/>
        <v>5424</v>
      </c>
      <c r="R34" s="111">
        <f t="shared" si="3"/>
        <v>3057.0300000000134</v>
      </c>
      <c r="T34" s="111">
        <f t="shared" si="4"/>
        <v>30.570300000000135</v>
      </c>
    </row>
    <row r="35" spans="1:20" x14ac:dyDescent="0.2">
      <c r="A35" s="57">
        <v>29</v>
      </c>
      <c r="B35" s="58" t="s">
        <v>215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69097</v>
      </c>
      <c r="J35" s="99">
        <v>30737</v>
      </c>
      <c r="K35" s="99">
        <f t="shared" si="0"/>
        <v>69097</v>
      </c>
      <c r="L35" s="99">
        <f t="shared" si="1"/>
        <v>30737</v>
      </c>
      <c r="M35" s="100">
        <f>L35*100/'CD Ratio_3(i)'!F35</f>
        <v>58.393176032524032</v>
      </c>
      <c r="O35" s="62">
        <v>45409</v>
      </c>
      <c r="P35" s="111">
        <v>19056</v>
      </c>
      <c r="Q35" s="111">
        <f t="shared" si="2"/>
        <v>23688</v>
      </c>
      <c r="R35" s="111">
        <f t="shared" si="3"/>
        <v>11681</v>
      </c>
      <c r="T35" s="111">
        <f t="shared" si="4"/>
        <v>116.81</v>
      </c>
    </row>
    <row r="36" spans="1:20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f t="shared" si="0"/>
        <v>0</v>
      </c>
      <c r="L36" s="99">
        <f t="shared" si="1"/>
        <v>0</v>
      </c>
      <c r="M36" s="100">
        <f>L36*100/'CD Ratio_3(i)'!F36</f>
        <v>0</v>
      </c>
      <c r="O36" s="62">
        <v>0</v>
      </c>
      <c r="P36" s="111">
        <v>0</v>
      </c>
      <c r="Q36" s="111">
        <f t="shared" si="2"/>
        <v>0</v>
      </c>
      <c r="R36" s="111">
        <f t="shared" si="3"/>
        <v>0</v>
      </c>
      <c r="T36" s="111">
        <f t="shared" si="4"/>
        <v>0</v>
      </c>
    </row>
    <row r="37" spans="1:20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f t="shared" si="0"/>
        <v>0</v>
      </c>
      <c r="L37" s="99">
        <f t="shared" si="1"/>
        <v>0</v>
      </c>
      <c r="M37" s="100">
        <f>L37*100/'CD Ratio_3(i)'!F37</f>
        <v>0</v>
      </c>
      <c r="O37" s="62">
        <v>0</v>
      </c>
      <c r="P37" s="111">
        <v>0</v>
      </c>
      <c r="Q37" s="111">
        <f t="shared" si="2"/>
        <v>0</v>
      </c>
      <c r="R37" s="111">
        <f t="shared" si="3"/>
        <v>0</v>
      </c>
      <c r="T37" s="111">
        <f t="shared" si="4"/>
        <v>0</v>
      </c>
    </row>
    <row r="38" spans="1:20" x14ac:dyDescent="0.2">
      <c r="A38" s="57">
        <v>32</v>
      </c>
      <c r="B38" s="98" t="s">
        <v>51</v>
      </c>
      <c r="C38" s="99">
        <v>0</v>
      </c>
      <c r="D38" s="99">
        <v>0</v>
      </c>
      <c r="E38" s="99">
        <v>0</v>
      </c>
      <c r="F38" s="99">
        <v>0</v>
      </c>
      <c r="G38" s="99">
        <v>2</v>
      </c>
      <c r="H38" s="99">
        <v>58.93</v>
      </c>
      <c r="I38" s="99">
        <v>6</v>
      </c>
      <c r="J38" s="99">
        <v>178.88</v>
      </c>
      <c r="K38" s="99">
        <f t="shared" si="0"/>
        <v>8</v>
      </c>
      <c r="L38" s="99">
        <f t="shared" si="1"/>
        <v>237.81</v>
      </c>
      <c r="M38" s="100">
        <f>L38*100/'CD Ratio_3(i)'!F38</f>
        <v>2.7905421262614412</v>
      </c>
      <c r="O38" s="62">
        <v>9</v>
      </c>
      <c r="P38" s="111">
        <v>254.25</v>
      </c>
      <c r="Q38" s="111">
        <f t="shared" si="2"/>
        <v>-1</v>
      </c>
      <c r="R38" s="111">
        <f t="shared" si="3"/>
        <v>-16.439999999999998</v>
      </c>
      <c r="T38" s="111">
        <f t="shared" si="4"/>
        <v>-0.16439999999999999</v>
      </c>
    </row>
    <row r="39" spans="1:20" x14ac:dyDescent="0.2">
      <c r="A39" s="57">
        <v>33</v>
      </c>
      <c r="B39" s="98" t="s">
        <v>217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f t="shared" si="0"/>
        <v>0</v>
      </c>
      <c r="L39" s="99">
        <f t="shared" si="1"/>
        <v>0</v>
      </c>
      <c r="M39" s="100">
        <f>L39*100/'CD Ratio_3(i)'!F39</f>
        <v>0</v>
      </c>
      <c r="O39" s="62">
        <v>0</v>
      </c>
      <c r="P39" s="111">
        <v>0</v>
      </c>
      <c r="Q39" s="111">
        <f t="shared" si="2"/>
        <v>0</v>
      </c>
      <c r="R39" s="111">
        <f t="shared" si="3"/>
        <v>0</v>
      </c>
      <c r="T39" s="111">
        <f t="shared" si="4"/>
        <v>0</v>
      </c>
    </row>
    <row r="40" spans="1:20" x14ac:dyDescent="0.2">
      <c r="A40" s="57">
        <v>34</v>
      </c>
      <c r="B40" s="98" t="s">
        <v>218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f t="shared" si="0"/>
        <v>0</v>
      </c>
      <c r="L40" s="99">
        <f t="shared" si="1"/>
        <v>0</v>
      </c>
      <c r="M40" s="100">
        <f>L40*100/'CD Ratio_3(i)'!F40</f>
        <v>0</v>
      </c>
      <c r="O40" s="62">
        <v>0</v>
      </c>
      <c r="P40" s="111">
        <v>0</v>
      </c>
      <c r="Q40" s="111">
        <f t="shared" si="2"/>
        <v>0</v>
      </c>
      <c r="R40" s="111">
        <f t="shared" si="3"/>
        <v>0</v>
      </c>
      <c r="T40" s="111">
        <f t="shared" si="4"/>
        <v>0</v>
      </c>
    </row>
    <row r="41" spans="1:20" x14ac:dyDescent="0.2">
      <c r="A41" s="57">
        <v>35</v>
      </c>
      <c r="B41" s="98" t="s">
        <v>219</v>
      </c>
      <c r="C41" s="99">
        <v>1506</v>
      </c>
      <c r="D41" s="99">
        <v>2422.37</v>
      </c>
      <c r="E41" s="99">
        <v>1451</v>
      </c>
      <c r="F41" s="99">
        <v>2126.31</v>
      </c>
      <c r="G41" s="99">
        <v>5</v>
      </c>
      <c r="H41" s="99">
        <v>523.34</v>
      </c>
      <c r="I41" s="99">
        <v>1173</v>
      </c>
      <c r="J41" s="99">
        <v>2323.54</v>
      </c>
      <c r="K41" s="99">
        <f t="shared" si="0"/>
        <v>2684</v>
      </c>
      <c r="L41" s="99">
        <f t="shared" si="1"/>
        <v>5269.25</v>
      </c>
      <c r="M41" s="100">
        <f>L41*100/'CD Ratio_3(i)'!F41</f>
        <v>34.030025600421588</v>
      </c>
      <c r="O41" s="62">
        <v>2600</v>
      </c>
      <c r="P41" s="111">
        <v>4801.13</v>
      </c>
      <c r="Q41" s="111">
        <f t="shared" si="2"/>
        <v>84</v>
      </c>
      <c r="R41" s="111">
        <f t="shared" si="3"/>
        <v>468.11999999999989</v>
      </c>
      <c r="T41" s="111">
        <f t="shared" si="4"/>
        <v>4.6811999999999987</v>
      </c>
    </row>
    <row r="42" spans="1:20" x14ac:dyDescent="0.2">
      <c r="A42" s="57">
        <v>36</v>
      </c>
      <c r="B42" s="98" t="s">
        <v>71</v>
      </c>
      <c r="C42" s="99">
        <v>123448</v>
      </c>
      <c r="D42" s="99">
        <v>268686</v>
      </c>
      <c r="E42" s="99">
        <v>32393</v>
      </c>
      <c r="F42" s="99">
        <v>142736</v>
      </c>
      <c r="G42" s="99">
        <v>142</v>
      </c>
      <c r="H42" s="99">
        <v>1327</v>
      </c>
      <c r="I42" s="99">
        <v>935</v>
      </c>
      <c r="J42" s="99">
        <v>54312</v>
      </c>
      <c r="K42" s="99">
        <f t="shared" si="0"/>
        <v>124525</v>
      </c>
      <c r="L42" s="99">
        <f t="shared" si="1"/>
        <v>324325</v>
      </c>
      <c r="M42" s="100">
        <f>L42*100/'CD Ratio_3(i)'!F42</f>
        <v>27.539688739742406</v>
      </c>
      <c r="O42" s="62">
        <v>122064</v>
      </c>
      <c r="P42" s="111">
        <v>318970</v>
      </c>
      <c r="Q42" s="111">
        <f t="shared" si="2"/>
        <v>2461</v>
      </c>
      <c r="R42" s="111">
        <f t="shared" si="3"/>
        <v>5355</v>
      </c>
      <c r="T42" s="111">
        <f t="shared" si="4"/>
        <v>53.55</v>
      </c>
    </row>
    <row r="43" spans="1:20" x14ac:dyDescent="0.2">
      <c r="A43" s="57">
        <v>37</v>
      </c>
      <c r="B43" s="98" t="s">
        <v>72</v>
      </c>
      <c r="C43" s="99">
        <v>122412</v>
      </c>
      <c r="D43" s="99">
        <v>263872</v>
      </c>
      <c r="E43" s="99">
        <v>72023</v>
      </c>
      <c r="F43" s="99">
        <v>157510</v>
      </c>
      <c r="G43" s="99">
        <v>369</v>
      </c>
      <c r="H43" s="99">
        <v>795</v>
      </c>
      <c r="I43" s="99">
        <v>246</v>
      </c>
      <c r="J43" s="99">
        <v>530</v>
      </c>
      <c r="K43" s="99">
        <f t="shared" si="0"/>
        <v>123027</v>
      </c>
      <c r="L43" s="99">
        <f t="shared" si="1"/>
        <v>265197</v>
      </c>
      <c r="M43" s="100">
        <f>L43*100/'CD Ratio_3(i)'!F43</f>
        <v>25.27324864983861</v>
      </c>
      <c r="O43" s="62">
        <v>119793</v>
      </c>
      <c r="P43" s="111">
        <v>254027.57</v>
      </c>
      <c r="Q43" s="111">
        <f t="shared" si="2"/>
        <v>3234</v>
      </c>
      <c r="R43" s="111">
        <f t="shared" si="3"/>
        <v>11169.429999999993</v>
      </c>
      <c r="T43" s="111">
        <f t="shared" si="4"/>
        <v>111.69429999999993</v>
      </c>
    </row>
    <row r="44" spans="1:20" x14ac:dyDescent="0.2">
      <c r="A44" s="57">
        <v>38</v>
      </c>
      <c r="B44" s="98" t="s">
        <v>220</v>
      </c>
      <c r="C44" s="99">
        <v>62512</v>
      </c>
      <c r="D44" s="99">
        <v>8123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f t="shared" si="0"/>
        <v>62512</v>
      </c>
      <c r="L44" s="99">
        <f t="shared" si="1"/>
        <v>8123</v>
      </c>
      <c r="M44" s="100">
        <f>L44*100/'CD Ratio_3(i)'!F44</f>
        <v>52.774168399168396</v>
      </c>
      <c r="O44" s="62">
        <v>0</v>
      </c>
      <c r="P44" s="111">
        <v>0</v>
      </c>
      <c r="Q44" s="111">
        <f t="shared" si="2"/>
        <v>62512</v>
      </c>
      <c r="R44" s="111">
        <f t="shared" si="3"/>
        <v>8123</v>
      </c>
      <c r="T44" s="111">
        <f t="shared" si="4"/>
        <v>81.23</v>
      </c>
    </row>
    <row r="45" spans="1:20" x14ac:dyDescent="0.2">
      <c r="A45" s="57">
        <v>39</v>
      </c>
      <c r="B45" s="98" t="s">
        <v>221</v>
      </c>
      <c r="C45" s="99">
        <v>39097</v>
      </c>
      <c r="D45" s="99">
        <v>59175</v>
      </c>
      <c r="E45" s="99">
        <v>0</v>
      </c>
      <c r="F45" s="99">
        <v>0</v>
      </c>
      <c r="G45" s="99">
        <v>1</v>
      </c>
      <c r="H45" s="99">
        <v>242</v>
      </c>
      <c r="I45" s="99">
        <v>14</v>
      </c>
      <c r="J45" s="99">
        <v>2764</v>
      </c>
      <c r="K45" s="99">
        <f t="shared" si="0"/>
        <v>39112</v>
      </c>
      <c r="L45" s="99">
        <f t="shared" si="1"/>
        <v>62181</v>
      </c>
      <c r="M45" s="100">
        <f>L45*100/'CD Ratio_3(i)'!F45</f>
        <v>23.215205752559307</v>
      </c>
      <c r="O45" s="62">
        <v>0</v>
      </c>
      <c r="P45" s="111">
        <v>54034.072609699972</v>
      </c>
      <c r="Q45" s="111">
        <f t="shared" si="2"/>
        <v>39112</v>
      </c>
      <c r="R45" s="111">
        <f t="shared" si="3"/>
        <v>8146.9273903000285</v>
      </c>
      <c r="T45" s="111">
        <f t="shared" si="4"/>
        <v>81.469273903000285</v>
      </c>
    </row>
    <row r="46" spans="1:20" x14ac:dyDescent="0.2">
      <c r="A46" s="57">
        <v>40</v>
      </c>
      <c r="B46" s="98" t="s">
        <v>222</v>
      </c>
      <c r="C46" s="99">
        <v>0</v>
      </c>
      <c r="D46" s="99">
        <v>0</v>
      </c>
      <c r="E46" s="99">
        <v>0</v>
      </c>
      <c r="F46" s="99">
        <v>0</v>
      </c>
      <c r="G46" s="99">
        <v>0</v>
      </c>
      <c r="H46" s="99">
        <v>0</v>
      </c>
      <c r="I46" s="99">
        <v>3</v>
      </c>
      <c r="J46" s="99">
        <v>20</v>
      </c>
      <c r="K46" s="99">
        <f t="shared" si="0"/>
        <v>3</v>
      </c>
      <c r="L46" s="99">
        <f t="shared" si="1"/>
        <v>20</v>
      </c>
      <c r="M46" s="100">
        <f>L46*100/'CD Ratio_3(i)'!F46</f>
        <v>0.61709348966368405</v>
      </c>
      <c r="O46" s="62">
        <v>0</v>
      </c>
      <c r="P46" s="111">
        <v>0</v>
      </c>
      <c r="Q46" s="111">
        <f t="shared" si="2"/>
        <v>3</v>
      </c>
      <c r="R46" s="111">
        <f t="shared" si="3"/>
        <v>20</v>
      </c>
      <c r="T46" s="111">
        <f t="shared" si="4"/>
        <v>0.2</v>
      </c>
    </row>
    <row r="47" spans="1:20" x14ac:dyDescent="0.2">
      <c r="A47" s="57">
        <v>41</v>
      </c>
      <c r="B47" s="98" t="s">
        <v>223</v>
      </c>
      <c r="C47" s="99">
        <v>644</v>
      </c>
      <c r="D47" s="99">
        <v>2839.81</v>
      </c>
      <c r="E47" s="99">
        <v>1</v>
      </c>
      <c r="F47" s="99">
        <v>1.58</v>
      </c>
      <c r="G47" s="99">
        <v>7</v>
      </c>
      <c r="H47" s="99">
        <v>244.78</v>
      </c>
      <c r="I47" s="99">
        <v>4</v>
      </c>
      <c r="J47" s="99">
        <v>124.32</v>
      </c>
      <c r="K47" s="99">
        <f t="shared" si="0"/>
        <v>655</v>
      </c>
      <c r="L47" s="99">
        <f t="shared" si="1"/>
        <v>3208.9100000000003</v>
      </c>
      <c r="M47" s="100">
        <f>L47*100/'CD Ratio_3(i)'!F47</f>
        <v>10.097897916797786</v>
      </c>
      <c r="O47" s="62">
        <v>31</v>
      </c>
      <c r="P47" s="111">
        <v>460.88</v>
      </c>
      <c r="Q47" s="111">
        <f t="shared" si="2"/>
        <v>624</v>
      </c>
      <c r="R47" s="111">
        <f t="shared" si="3"/>
        <v>2748.03</v>
      </c>
      <c r="T47" s="111">
        <f t="shared" si="4"/>
        <v>27.480300000000003</v>
      </c>
    </row>
    <row r="48" spans="1:20" x14ac:dyDescent="0.2">
      <c r="A48" s="57">
        <v>42</v>
      </c>
      <c r="B48" s="107" t="s">
        <v>224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f t="shared" si="0"/>
        <v>0</v>
      </c>
      <c r="L48" s="99">
        <f t="shared" si="1"/>
        <v>0</v>
      </c>
      <c r="M48" s="100">
        <f>L48*100/'CD Ratio_3(i)'!F48</f>
        <v>0</v>
      </c>
      <c r="O48" s="62">
        <v>0</v>
      </c>
      <c r="P48" s="111">
        <v>0</v>
      </c>
      <c r="Q48" s="111">
        <f t="shared" si="2"/>
        <v>0</v>
      </c>
      <c r="R48" s="111">
        <f t="shared" si="3"/>
        <v>0</v>
      </c>
      <c r="T48" s="111">
        <f t="shared" si="4"/>
        <v>0</v>
      </c>
    </row>
    <row r="49" spans="1:20" x14ac:dyDescent="0.2">
      <c r="A49" s="57">
        <v>43</v>
      </c>
      <c r="B49" s="98" t="s">
        <v>73</v>
      </c>
      <c r="C49" s="99">
        <v>32303</v>
      </c>
      <c r="D49" s="99">
        <v>75399</v>
      </c>
      <c r="E49" s="99">
        <v>11365</v>
      </c>
      <c r="F49" s="99">
        <v>24939</v>
      </c>
      <c r="G49" s="99">
        <v>445</v>
      </c>
      <c r="H49" s="99">
        <v>1771</v>
      </c>
      <c r="I49" s="99">
        <v>49</v>
      </c>
      <c r="J49" s="99">
        <v>13075</v>
      </c>
      <c r="K49" s="99">
        <f t="shared" si="0"/>
        <v>32797</v>
      </c>
      <c r="L49" s="99">
        <f t="shared" si="1"/>
        <v>90245</v>
      </c>
      <c r="M49" s="100">
        <f>L49*100/'CD Ratio_3(i)'!F49</f>
        <v>40.459538220130014</v>
      </c>
      <c r="O49" s="62">
        <v>30459</v>
      </c>
      <c r="P49" s="111">
        <v>83869</v>
      </c>
      <c r="Q49" s="111">
        <f t="shared" si="2"/>
        <v>2338</v>
      </c>
      <c r="R49" s="111">
        <f t="shared" si="3"/>
        <v>6376</v>
      </c>
      <c r="T49" s="111">
        <f t="shared" si="4"/>
        <v>63.76</v>
      </c>
    </row>
    <row r="50" spans="1:20" x14ac:dyDescent="0.2">
      <c r="A50" s="57">
        <v>44</v>
      </c>
      <c r="B50" s="98" t="s">
        <v>225</v>
      </c>
      <c r="C50" s="99">
        <v>0</v>
      </c>
      <c r="D50" s="99">
        <v>0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J50" s="99">
        <v>0</v>
      </c>
      <c r="K50" s="99">
        <f t="shared" si="0"/>
        <v>0</v>
      </c>
      <c r="L50" s="99">
        <f t="shared" si="1"/>
        <v>0</v>
      </c>
      <c r="M50" s="100">
        <f>L50*100/'CD Ratio_3(i)'!F50</f>
        <v>0</v>
      </c>
      <c r="O50" s="62">
        <v>10</v>
      </c>
      <c r="P50" s="111">
        <v>78</v>
      </c>
      <c r="Q50" s="111">
        <f t="shared" si="2"/>
        <v>-10</v>
      </c>
      <c r="R50" s="111">
        <f t="shared" si="3"/>
        <v>-78</v>
      </c>
      <c r="T50" s="111">
        <f t="shared" si="4"/>
        <v>-0.78</v>
      </c>
    </row>
    <row r="51" spans="1:20" x14ac:dyDescent="0.2">
      <c r="A51" s="57">
        <v>45</v>
      </c>
      <c r="B51" s="98" t="s">
        <v>226</v>
      </c>
      <c r="C51" s="99">
        <v>3151</v>
      </c>
      <c r="D51" s="99">
        <v>9806</v>
      </c>
      <c r="E51" s="99">
        <v>2388</v>
      </c>
      <c r="F51" s="99">
        <v>5167</v>
      </c>
      <c r="G51" s="99">
        <v>62</v>
      </c>
      <c r="H51" s="99">
        <v>1027</v>
      </c>
      <c r="I51" s="99">
        <v>13</v>
      </c>
      <c r="J51" s="99">
        <v>4586</v>
      </c>
      <c r="K51" s="99">
        <f t="shared" si="0"/>
        <v>3226</v>
      </c>
      <c r="L51" s="99">
        <f t="shared" si="1"/>
        <v>15419</v>
      </c>
      <c r="M51" s="100">
        <f>L51*100/'CD Ratio_3(i)'!F51</f>
        <v>18.592340712873199</v>
      </c>
      <c r="O51" s="62">
        <v>2584</v>
      </c>
      <c r="P51" s="111">
        <v>14370</v>
      </c>
      <c r="Q51" s="111">
        <f t="shared" si="2"/>
        <v>642</v>
      </c>
      <c r="R51" s="111">
        <f t="shared" si="3"/>
        <v>1049</v>
      </c>
      <c r="T51" s="111">
        <f t="shared" si="4"/>
        <v>10.49</v>
      </c>
    </row>
    <row r="52" spans="1:20" x14ac:dyDescent="0.2">
      <c r="A52" s="57">
        <v>46</v>
      </c>
      <c r="B52" s="98" t="s">
        <v>227</v>
      </c>
      <c r="C52" s="99">
        <v>5</v>
      </c>
      <c r="D52" s="99">
        <v>7.5</v>
      </c>
      <c r="E52" s="99">
        <v>0</v>
      </c>
      <c r="F52" s="99">
        <v>0</v>
      </c>
      <c r="G52" s="99">
        <v>0</v>
      </c>
      <c r="H52" s="99">
        <v>0</v>
      </c>
      <c r="I52" s="99">
        <v>0</v>
      </c>
      <c r="J52" s="99">
        <v>0</v>
      </c>
      <c r="K52" s="99">
        <f t="shared" si="0"/>
        <v>5</v>
      </c>
      <c r="L52" s="99">
        <f t="shared" si="1"/>
        <v>7.5</v>
      </c>
      <c r="M52" s="100">
        <f>L52*100/'CD Ratio_3(i)'!F52</f>
        <v>0.14372854851413427</v>
      </c>
      <c r="O52" s="62">
        <v>0</v>
      </c>
      <c r="P52" s="111">
        <v>6.36</v>
      </c>
      <c r="Q52" s="111">
        <f t="shared" si="2"/>
        <v>5</v>
      </c>
      <c r="R52" s="111">
        <f t="shared" si="3"/>
        <v>1.1399999999999997</v>
      </c>
      <c r="T52" s="111">
        <f t="shared" si="4"/>
        <v>1.1399999999999997E-2</v>
      </c>
    </row>
    <row r="53" spans="1:20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f t="shared" si="0"/>
        <v>0</v>
      </c>
      <c r="L53" s="99">
        <f t="shared" si="1"/>
        <v>0</v>
      </c>
      <c r="M53" s="100">
        <f>L53*100/'CD Ratio_3(i)'!F53</f>
        <v>0</v>
      </c>
      <c r="O53" s="62">
        <v>0</v>
      </c>
      <c r="P53" s="111">
        <v>0</v>
      </c>
      <c r="Q53" s="111">
        <f t="shared" si="2"/>
        <v>0</v>
      </c>
      <c r="R53" s="111">
        <f t="shared" si="3"/>
        <v>0</v>
      </c>
      <c r="T53" s="111">
        <f t="shared" si="4"/>
        <v>0</v>
      </c>
    </row>
    <row r="54" spans="1:20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f t="shared" si="0"/>
        <v>0</v>
      </c>
      <c r="L54" s="99">
        <f t="shared" si="1"/>
        <v>0</v>
      </c>
      <c r="M54" s="100">
        <f>L54*100/'CD Ratio_3(i)'!F54</f>
        <v>0</v>
      </c>
      <c r="O54" s="62">
        <v>0</v>
      </c>
      <c r="P54" s="111">
        <v>0</v>
      </c>
      <c r="Q54" s="111">
        <f t="shared" si="2"/>
        <v>0</v>
      </c>
      <c r="R54" s="111">
        <f t="shared" si="3"/>
        <v>0</v>
      </c>
      <c r="T54" s="111">
        <f t="shared" si="4"/>
        <v>0</v>
      </c>
    </row>
    <row r="55" spans="1:20" x14ac:dyDescent="0.2">
      <c r="A55" s="57">
        <v>49</v>
      </c>
      <c r="B55" s="58" t="s">
        <v>76</v>
      </c>
      <c r="C55" s="99">
        <v>12226</v>
      </c>
      <c r="D55" s="99">
        <v>8973</v>
      </c>
      <c r="E55" s="99">
        <v>6</v>
      </c>
      <c r="F55" s="99">
        <v>706</v>
      </c>
      <c r="G55" s="99">
        <v>12</v>
      </c>
      <c r="H55" s="99">
        <v>3668</v>
      </c>
      <c r="I55" s="99">
        <v>42</v>
      </c>
      <c r="J55" s="99">
        <v>6811</v>
      </c>
      <c r="K55" s="99">
        <f t="shared" si="0"/>
        <v>12280</v>
      </c>
      <c r="L55" s="99">
        <f t="shared" si="1"/>
        <v>19452</v>
      </c>
      <c r="M55" s="100">
        <f>L55*100/'CD Ratio_3(i)'!F55</f>
        <v>26.441562678411223</v>
      </c>
      <c r="O55" s="62">
        <v>10810</v>
      </c>
      <c r="P55" s="111">
        <v>27396</v>
      </c>
      <c r="Q55" s="111">
        <f t="shared" si="2"/>
        <v>1470</v>
      </c>
      <c r="R55" s="111">
        <f t="shared" si="3"/>
        <v>-7944</v>
      </c>
      <c r="T55" s="111">
        <f t="shared" si="4"/>
        <v>-79.44</v>
      </c>
    </row>
    <row r="56" spans="1:20" s="108" customFormat="1" x14ac:dyDescent="0.2">
      <c r="A56" s="57"/>
      <c r="B56" s="60" t="s">
        <v>289</v>
      </c>
      <c r="C56" s="106">
        <f>SUM(C34:C55)</f>
        <v>497264</v>
      </c>
      <c r="D56" s="106">
        <f t="shared" ref="D56:J56" si="6">SUM(D34:D55)</f>
        <v>767545.03</v>
      </c>
      <c r="E56" s="106">
        <f t="shared" si="6"/>
        <v>123764</v>
      </c>
      <c r="F56" s="106">
        <f t="shared" si="6"/>
        <v>355538.00000000006</v>
      </c>
      <c r="G56" s="106">
        <f t="shared" si="6"/>
        <v>1066</v>
      </c>
      <c r="H56" s="106">
        <f t="shared" si="6"/>
        <v>11566.64</v>
      </c>
      <c r="I56" s="106">
        <f t="shared" si="6"/>
        <v>71691</v>
      </c>
      <c r="J56" s="106">
        <f t="shared" si="6"/>
        <v>126030.56</v>
      </c>
      <c r="K56" s="106">
        <f t="shared" si="0"/>
        <v>570021</v>
      </c>
      <c r="L56" s="106">
        <f t="shared" si="1"/>
        <v>905142.23</v>
      </c>
      <c r="M56" s="97">
        <f>L56*100/'CD Ratio_3(i)'!F56</f>
        <v>24.633773151812203</v>
      </c>
      <c r="O56" s="108">
        <v>428435</v>
      </c>
      <c r="P56" s="112">
        <v>854985.99260969996</v>
      </c>
      <c r="Q56" s="111">
        <f t="shared" si="2"/>
        <v>141586</v>
      </c>
      <c r="R56" s="111">
        <f t="shared" si="3"/>
        <v>50156.237390300026</v>
      </c>
      <c r="T56" s="111">
        <f t="shared" si="4"/>
        <v>501.56237390300026</v>
      </c>
    </row>
    <row r="57" spans="1:20" x14ac:dyDescent="0.2">
      <c r="A57" s="57">
        <v>50</v>
      </c>
      <c r="B57" s="58" t="s">
        <v>46</v>
      </c>
      <c r="C57" s="99">
        <v>161098</v>
      </c>
      <c r="D57" s="99">
        <v>228976.76</v>
      </c>
      <c r="E57" s="99">
        <v>126396</v>
      </c>
      <c r="F57" s="99">
        <v>197484.54</v>
      </c>
      <c r="G57" s="99">
        <v>86</v>
      </c>
      <c r="H57" s="99">
        <v>5103.8999999999996</v>
      </c>
      <c r="I57" s="99">
        <v>189</v>
      </c>
      <c r="J57" s="99">
        <v>109.42</v>
      </c>
      <c r="K57" s="99">
        <f t="shared" si="0"/>
        <v>161373</v>
      </c>
      <c r="L57" s="99">
        <f t="shared" si="1"/>
        <v>234190.08000000002</v>
      </c>
      <c r="M57" s="100">
        <f>L57*100/'CD Ratio_3(i)'!F57</f>
        <v>60.701670533041302</v>
      </c>
      <c r="O57" s="62">
        <v>164143</v>
      </c>
      <c r="P57" s="111">
        <v>245067.59000000003</v>
      </c>
      <c r="Q57" s="111">
        <f t="shared" si="2"/>
        <v>-2770</v>
      </c>
      <c r="R57" s="111">
        <f t="shared" si="3"/>
        <v>-10877.510000000009</v>
      </c>
      <c r="T57" s="111">
        <f t="shared" si="4"/>
        <v>-108.77510000000009</v>
      </c>
    </row>
    <row r="58" spans="1:20" x14ac:dyDescent="0.2">
      <c r="A58" s="57">
        <v>51</v>
      </c>
      <c r="B58" s="58" t="s">
        <v>229</v>
      </c>
      <c r="C58" s="99">
        <v>220833</v>
      </c>
      <c r="D58" s="99">
        <v>161747</v>
      </c>
      <c r="E58" s="99">
        <v>193652</v>
      </c>
      <c r="F58" s="99">
        <v>140274</v>
      </c>
      <c r="G58" s="99">
        <v>0</v>
      </c>
      <c r="H58" s="99">
        <v>0</v>
      </c>
      <c r="I58" s="99">
        <v>0</v>
      </c>
      <c r="J58" s="99">
        <v>0</v>
      </c>
      <c r="K58" s="99">
        <f t="shared" si="0"/>
        <v>220833</v>
      </c>
      <c r="L58" s="99">
        <f t="shared" si="1"/>
        <v>161747</v>
      </c>
      <c r="M58" s="100">
        <f>L58*100/'CD Ratio_3(i)'!F58</f>
        <v>64.592093860941731</v>
      </c>
      <c r="O58" s="62">
        <v>229688</v>
      </c>
      <c r="P58" s="111">
        <v>171854</v>
      </c>
      <c r="Q58" s="111">
        <f t="shared" si="2"/>
        <v>-8855</v>
      </c>
      <c r="R58" s="111">
        <f t="shared" si="3"/>
        <v>-10107</v>
      </c>
      <c r="T58" s="111">
        <f t="shared" si="4"/>
        <v>-101.07</v>
      </c>
    </row>
    <row r="59" spans="1:20" x14ac:dyDescent="0.2">
      <c r="A59" s="57">
        <v>52</v>
      </c>
      <c r="B59" s="58" t="s">
        <v>52</v>
      </c>
      <c r="C59" s="99">
        <v>187911</v>
      </c>
      <c r="D59" s="99">
        <v>270231.21000000002</v>
      </c>
      <c r="E59" s="99">
        <v>187911</v>
      </c>
      <c r="F59" s="99">
        <v>281213.44</v>
      </c>
      <c r="G59" s="99">
        <v>0</v>
      </c>
      <c r="H59" s="99">
        <v>0</v>
      </c>
      <c r="I59" s="99">
        <v>19856</v>
      </c>
      <c r="J59" s="99">
        <v>16321.41</v>
      </c>
      <c r="K59" s="99">
        <f t="shared" si="0"/>
        <v>207767</v>
      </c>
      <c r="L59" s="99">
        <f t="shared" si="1"/>
        <v>286552.62</v>
      </c>
      <c r="M59" s="100">
        <f>L59*100/'CD Ratio_3(i)'!F59</f>
        <v>67.709641594676853</v>
      </c>
      <c r="O59" s="62">
        <v>208264</v>
      </c>
      <c r="P59" s="111">
        <v>308515</v>
      </c>
      <c r="Q59" s="111">
        <f t="shared" si="2"/>
        <v>-497</v>
      </c>
      <c r="R59" s="111">
        <f t="shared" si="3"/>
        <v>-21962.380000000005</v>
      </c>
      <c r="T59" s="111">
        <f t="shared" si="4"/>
        <v>-219.62380000000005</v>
      </c>
    </row>
    <row r="60" spans="1:20" s="112" customFormat="1" x14ac:dyDescent="0.2">
      <c r="A60" s="221"/>
      <c r="B60" s="106" t="s">
        <v>298</v>
      </c>
      <c r="C60" s="106">
        <f>SUM(C57:C59)</f>
        <v>569842</v>
      </c>
      <c r="D60" s="106">
        <f t="shared" ref="D60:J60" si="7">SUM(D57:D59)</f>
        <v>660954.97</v>
      </c>
      <c r="E60" s="106">
        <f t="shared" si="7"/>
        <v>507959</v>
      </c>
      <c r="F60" s="106">
        <f t="shared" si="7"/>
        <v>618971.98</v>
      </c>
      <c r="G60" s="106">
        <f t="shared" si="7"/>
        <v>86</v>
      </c>
      <c r="H60" s="106">
        <f t="shared" si="7"/>
        <v>5103.8999999999996</v>
      </c>
      <c r="I60" s="106">
        <f t="shared" si="7"/>
        <v>20045</v>
      </c>
      <c r="J60" s="106">
        <f t="shared" si="7"/>
        <v>16430.829999999998</v>
      </c>
      <c r="K60" s="106">
        <f t="shared" si="0"/>
        <v>589973</v>
      </c>
      <c r="L60" s="106">
        <f t="shared" si="1"/>
        <v>682489.7</v>
      </c>
      <c r="M60" s="97">
        <f>L60*100/'CD Ratio_3(i)'!F60</f>
        <v>64.420705174311379</v>
      </c>
      <c r="O60" s="112">
        <v>602095</v>
      </c>
      <c r="P60" s="112">
        <v>725436.59</v>
      </c>
      <c r="Q60" s="111">
        <f t="shared" si="2"/>
        <v>-12122</v>
      </c>
      <c r="R60" s="111">
        <f t="shared" si="3"/>
        <v>-42946.890000000014</v>
      </c>
      <c r="T60" s="111">
        <f t="shared" si="4"/>
        <v>-429.46890000000013</v>
      </c>
    </row>
    <row r="61" spans="1:20" x14ac:dyDescent="0.2">
      <c r="A61" s="119">
        <v>53</v>
      </c>
      <c r="B61" s="99" t="s">
        <v>290</v>
      </c>
      <c r="C61" s="99">
        <v>5686238</v>
      </c>
      <c r="D61" s="99">
        <v>2414164</v>
      </c>
      <c r="E61" s="99">
        <v>2729196</v>
      </c>
      <c r="F61" s="99">
        <f>D61*72%</f>
        <v>1738198.0799999998</v>
      </c>
      <c r="G61" s="99"/>
      <c r="H61" s="99">
        <v>0</v>
      </c>
      <c r="I61" s="99"/>
      <c r="J61" s="99">
        <v>0</v>
      </c>
      <c r="K61" s="99">
        <f t="shared" si="0"/>
        <v>5686238</v>
      </c>
      <c r="L61" s="99">
        <f t="shared" si="1"/>
        <v>2414164</v>
      </c>
      <c r="M61" s="100">
        <f>L61*100/'CD Ratio_3(i)'!F61</f>
        <v>100</v>
      </c>
      <c r="O61" s="62">
        <v>5686238</v>
      </c>
      <c r="P61" s="111">
        <v>1696209</v>
      </c>
      <c r="Q61" s="111">
        <f t="shared" si="2"/>
        <v>0</v>
      </c>
      <c r="R61" s="111">
        <f t="shared" si="3"/>
        <v>717955</v>
      </c>
      <c r="T61" s="111">
        <f t="shared" si="4"/>
        <v>7179.55</v>
      </c>
    </row>
    <row r="62" spans="1:20" x14ac:dyDescent="0.2">
      <c r="A62" s="119"/>
      <c r="B62" s="106" t="s">
        <v>291</v>
      </c>
      <c r="C62" s="106">
        <f>C61</f>
        <v>5686238</v>
      </c>
      <c r="D62" s="106">
        <f t="shared" ref="D62:J62" si="8">D61</f>
        <v>2414164</v>
      </c>
      <c r="E62" s="106">
        <f t="shared" si="8"/>
        <v>2729196</v>
      </c>
      <c r="F62" s="106">
        <f t="shared" si="8"/>
        <v>1738198.0799999998</v>
      </c>
      <c r="G62" s="106">
        <f t="shared" si="8"/>
        <v>0</v>
      </c>
      <c r="H62" s="106">
        <f t="shared" si="8"/>
        <v>0</v>
      </c>
      <c r="I62" s="106">
        <f t="shared" si="8"/>
        <v>0</v>
      </c>
      <c r="J62" s="106">
        <f t="shared" si="8"/>
        <v>0</v>
      </c>
      <c r="K62" s="106">
        <f t="shared" si="0"/>
        <v>5686238</v>
      </c>
      <c r="L62" s="106">
        <f t="shared" si="1"/>
        <v>2414164</v>
      </c>
      <c r="M62" s="97">
        <f>L62*100/'CD Ratio_3(i)'!F62</f>
        <v>100</v>
      </c>
      <c r="O62" s="62">
        <v>5686238</v>
      </c>
      <c r="P62" s="111">
        <v>1696209</v>
      </c>
      <c r="Q62" s="111">
        <f t="shared" si="2"/>
        <v>0</v>
      </c>
      <c r="R62" s="111">
        <f t="shared" si="3"/>
        <v>717955</v>
      </c>
      <c r="T62" s="111">
        <f t="shared" si="4"/>
        <v>7179.55</v>
      </c>
    </row>
    <row r="63" spans="1:20" s="108" customFormat="1" x14ac:dyDescent="0.2">
      <c r="A63" s="221"/>
      <c r="B63" s="106" t="s">
        <v>0</v>
      </c>
      <c r="C63" s="106">
        <f>C62+C60+C56+C33</f>
        <v>8773048</v>
      </c>
      <c r="D63" s="106">
        <f t="shared" ref="D63:J63" si="9">D62+D60+D56+D33</f>
        <v>7440625.3000000007</v>
      </c>
      <c r="E63" s="106">
        <f t="shared" si="9"/>
        <v>5438525</v>
      </c>
      <c r="F63" s="106">
        <f t="shared" si="9"/>
        <v>5604650.8399999999</v>
      </c>
      <c r="G63" s="106">
        <f t="shared" si="9"/>
        <v>38007</v>
      </c>
      <c r="H63" s="106">
        <f t="shared" si="9"/>
        <v>151893.09</v>
      </c>
      <c r="I63" s="106">
        <f t="shared" si="9"/>
        <v>196917</v>
      </c>
      <c r="J63" s="106">
        <f t="shared" si="9"/>
        <v>530263.02</v>
      </c>
      <c r="K63" s="106">
        <f t="shared" si="0"/>
        <v>9007972</v>
      </c>
      <c r="L63" s="106">
        <f t="shared" si="1"/>
        <v>8122781.4100000001</v>
      </c>
      <c r="M63" s="97">
        <f>L63*100/'CD Ratio_3(i)'!F63</f>
        <v>36.602027186114725</v>
      </c>
      <c r="O63" s="108">
        <v>8971132</v>
      </c>
      <c r="P63" s="112">
        <v>7594163.5326096993</v>
      </c>
      <c r="Q63" s="111">
        <f t="shared" si="2"/>
        <v>36840</v>
      </c>
      <c r="R63" s="111">
        <f t="shared" si="3"/>
        <v>528617.87739030086</v>
      </c>
      <c r="T63" s="111">
        <f t="shared" si="4"/>
        <v>5286.1787739030087</v>
      </c>
    </row>
    <row r="66" spans="3:20" x14ac:dyDescent="0.2">
      <c r="M66" s="62"/>
    </row>
    <row r="67" spans="3:20" s="108" customFormat="1" x14ac:dyDescent="0.2"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P67" s="112"/>
      <c r="Q67" s="112"/>
      <c r="R67" s="112"/>
      <c r="T67" s="112"/>
    </row>
    <row r="69" spans="3:20" x14ac:dyDescent="0.2">
      <c r="M69" s="62"/>
    </row>
    <row r="72" spans="3:20" x14ac:dyDescent="0.2">
      <c r="J72" s="109"/>
    </row>
    <row r="75" spans="3:20" x14ac:dyDescent="0.2">
      <c r="F75" s="109"/>
    </row>
    <row r="76" spans="3:20" x14ac:dyDescent="0.2">
      <c r="F76" s="109"/>
    </row>
  </sheetData>
  <sortState ref="B6:L33">
    <sortCondition ref="B6:B33"/>
  </sortState>
  <mergeCells count="12">
    <mergeCell ref="O4:P4"/>
    <mergeCell ref="Q4:R4"/>
    <mergeCell ref="M3:M5"/>
    <mergeCell ref="A1:L1"/>
    <mergeCell ref="A3:A5"/>
    <mergeCell ref="B3:B5"/>
    <mergeCell ref="C3:L3"/>
    <mergeCell ref="C4:D4"/>
    <mergeCell ref="G4:H4"/>
    <mergeCell ref="I4:J4"/>
    <mergeCell ref="K4:L4"/>
    <mergeCell ref="E4:F4"/>
  </mergeCells>
  <conditionalFormatting sqref="B7">
    <cfRule type="duplicateValues" dxfId="202" priority="20"/>
  </conditionalFormatting>
  <conditionalFormatting sqref="B23">
    <cfRule type="duplicateValues" dxfId="201" priority="21"/>
  </conditionalFormatting>
  <conditionalFormatting sqref="B51">
    <cfRule type="duplicateValues" dxfId="200" priority="23"/>
  </conditionalFormatting>
  <conditionalFormatting sqref="B55">
    <cfRule type="duplicateValues" dxfId="199" priority="24"/>
  </conditionalFormatting>
  <conditionalFormatting sqref="B57">
    <cfRule type="duplicateValues" dxfId="198" priority="25"/>
  </conditionalFormatting>
  <conditionalFormatting sqref="B33 B27:B30">
    <cfRule type="duplicateValues" dxfId="197" priority="114"/>
  </conditionalFormatting>
  <conditionalFormatting sqref="M3:M5">
    <cfRule type="cellIs" dxfId="196" priority="7" operator="lessThan">
      <formula>18</formula>
    </cfRule>
    <cfRule type="cellIs" dxfId="195" priority="8" operator="lessThan">
      <formula>18</formula>
    </cfRule>
    <cfRule type="cellIs" dxfId="194" priority="9" operator="lessThan">
      <formula>40</formula>
    </cfRule>
    <cfRule type="cellIs" dxfId="193" priority="10" stopIfTrue="1" operator="lessThan">
      <formula>18</formula>
    </cfRule>
  </conditionalFormatting>
  <conditionalFormatting sqref="M1:M66 M68:M1048576">
    <cfRule type="cellIs" dxfId="192" priority="2" operator="lessThan">
      <formula>18</formula>
    </cfRule>
    <cfRule type="cellIs" dxfId="191" priority="3" operator="greaterThan">
      <formula>100</formula>
    </cfRule>
    <cfRule type="cellIs" dxfId="190" priority="4" operator="greaterThan">
      <formula>100</formula>
    </cfRule>
    <cfRule type="cellIs" dxfId="189" priority="6" operator="lessThan">
      <formula>18</formula>
    </cfRule>
  </conditionalFormatting>
  <conditionalFormatting sqref="R1:R1048576">
    <cfRule type="cellIs" dxfId="188" priority="1" operator="lessThan">
      <formula>0</formula>
    </cfRule>
  </conditionalFormatting>
  <pageMargins left="0.45" right="0.45" top="0.5" bottom="0.5" header="0.3" footer="0.3"/>
  <pageSetup paperSize="9" scale="80" orientation="portrait" r:id="rId1"/>
  <headerFooter>
    <oddFooter xml:space="preserve">&amp;CData Table, State Level Banker's Committee, M.P. as on 31.12.2016 Page No. 78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76"/>
  <sheetViews>
    <sheetView view="pageBreakPreview" topLeftCell="A34" zoomScale="60" zoomScaleNormal="100" workbookViewId="0">
      <selection activeCell="AC54" sqref="AC54"/>
    </sheetView>
  </sheetViews>
  <sheetFormatPr defaultColWidth="4.42578125" defaultRowHeight="13.5" x14ac:dyDescent="0.2"/>
  <cols>
    <col min="1" max="1" width="4.42578125" style="62"/>
    <col min="2" max="2" width="22.140625" style="62" customWidth="1"/>
    <col min="3" max="3" width="10" style="111" customWidth="1"/>
    <col min="4" max="4" width="9.28515625" style="111" customWidth="1"/>
    <col min="5" max="5" width="8.42578125" style="111" customWidth="1"/>
    <col min="6" max="6" width="9.5703125" style="111" customWidth="1"/>
    <col min="7" max="7" width="7.7109375" style="111" bestFit="1" customWidth="1"/>
    <col min="8" max="8" width="8.42578125" style="111" customWidth="1"/>
    <col min="9" max="9" width="7.5703125" style="111" customWidth="1"/>
    <col min="10" max="10" width="7.140625" style="111" customWidth="1"/>
    <col min="11" max="11" width="7" style="111" bestFit="1" customWidth="1"/>
    <col min="12" max="12" width="7.42578125" style="111" customWidth="1"/>
    <col min="13" max="14" width="7.85546875" style="111" customWidth="1"/>
    <col min="15" max="15" width="4.42578125" style="62"/>
    <col min="16" max="16" width="12" style="109" hidden="1" customWidth="1"/>
    <col min="17" max="17" width="7" style="62" hidden="1" customWidth="1"/>
    <col min="18" max="18" width="11" style="111" hidden="1" customWidth="1"/>
    <col min="19" max="19" width="0" style="62" hidden="1" customWidth="1"/>
    <col min="20" max="20" width="8" style="62" hidden="1" customWidth="1"/>
    <col min="21" max="16384" width="4.42578125" style="62"/>
  </cols>
  <sheetData>
    <row r="1" spans="1:20" ht="18.75" x14ac:dyDescent="0.2">
      <c r="A1" s="477" t="s">
        <v>357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</row>
    <row r="2" spans="1:20" x14ac:dyDescent="0.2">
      <c r="B2" s="108" t="s">
        <v>134</v>
      </c>
      <c r="I2" s="111" t="s">
        <v>143</v>
      </c>
      <c r="L2" s="111" t="s">
        <v>133</v>
      </c>
    </row>
    <row r="3" spans="1:20" ht="13.5" customHeight="1" x14ac:dyDescent="0.2">
      <c r="A3" s="478" t="s">
        <v>120</v>
      </c>
      <c r="B3" s="478" t="s">
        <v>100</v>
      </c>
      <c r="C3" s="480" t="s">
        <v>355</v>
      </c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2"/>
    </row>
    <row r="4" spans="1:20" ht="15" customHeight="1" x14ac:dyDescent="0.2">
      <c r="A4" s="478"/>
      <c r="B4" s="478"/>
      <c r="C4" s="480" t="s">
        <v>127</v>
      </c>
      <c r="D4" s="482"/>
      <c r="E4" s="480" t="s">
        <v>128</v>
      </c>
      <c r="F4" s="482"/>
      <c r="G4" s="480" t="s">
        <v>129</v>
      </c>
      <c r="H4" s="482"/>
      <c r="I4" s="480" t="s">
        <v>130</v>
      </c>
      <c r="J4" s="482"/>
      <c r="K4" s="480" t="s">
        <v>132</v>
      </c>
      <c r="L4" s="482"/>
      <c r="M4" s="480" t="s">
        <v>1</v>
      </c>
      <c r="N4" s="482"/>
      <c r="R4" s="311">
        <v>42629</v>
      </c>
    </row>
    <row r="5" spans="1:20" x14ac:dyDescent="0.2">
      <c r="A5" s="478"/>
      <c r="B5" s="478"/>
      <c r="C5" s="230" t="s">
        <v>264</v>
      </c>
      <c r="D5" s="230" t="s">
        <v>263</v>
      </c>
      <c r="E5" s="230" t="s">
        <v>264</v>
      </c>
      <c r="F5" s="230" t="s">
        <v>263</v>
      </c>
      <c r="G5" s="230" t="s">
        <v>264</v>
      </c>
      <c r="H5" s="230" t="s">
        <v>263</v>
      </c>
      <c r="I5" s="230" t="s">
        <v>264</v>
      </c>
      <c r="J5" s="230" t="s">
        <v>263</v>
      </c>
      <c r="K5" s="230" t="s">
        <v>264</v>
      </c>
      <c r="L5" s="230" t="s">
        <v>263</v>
      </c>
      <c r="M5" s="230" t="s">
        <v>264</v>
      </c>
      <c r="N5" s="230" t="s">
        <v>263</v>
      </c>
      <c r="T5" s="231" t="s">
        <v>268</v>
      </c>
    </row>
    <row r="6" spans="1:20" x14ac:dyDescent="0.2">
      <c r="A6" s="57">
        <v>1</v>
      </c>
      <c r="B6" s="98" t="s">
        <v>55</v>
      </c>
      <c r="C6" s="99">
        <v>21375</v>
      </c>
      <c r="D6" s="99">
        <v>77754</v>
      </c>
      <c r="E6" s="99">
        <v>3514</v>
      </c>
      <c r="F6" s="99">
        <v>72147</v>
      </c>
      <c r="G6" s="99">
        <v>57</v>
      </c>
      <c r="H6" s="99">
        <v>15886</v>
      </c>
      <c r="I6" s="99">
        <v>243</v>
      </c>
      <c r="J6" s="99">
        <v>407</v>
      </c>
      <c r="K6" s="99">
        <v>0</v>
      </c>
      <c r="L6" s="99">
        <v>0</v>
      </c>
      <c r="M6" s="99">
        <f>C6+E6+G6+I6+K6</f>
        <v>25189</v>
      </c>
      <c r="N6" s="99">
        <f>D6+F6+H6+J6+L6</f>
        <v>166194</v>
      </c>
      <c r="P6" s="109" t="s">
        <v>55</v>
      </c>
      <c r="Q6" s="62">
        <v>29661</v>
      </c>
      <c r="R6" s="111">
        <v>169477</v>
      </c>
      <c r="T6" s="111">
        <f>N6-R6</f>
        <v>-3283</v>
      </c>
    </row>
    <row r="7" spans="1:20" x14ac:dyDescent="0.2">
      <c r="A7" s="57">
        <v>2</v>
      </c>
      <c r="B7" s="98" t="s">
        <v>56</v>
      </c>
      <c r="C7" s="99">
        <v>3074</v>
      </c>
      <c r="D7" s="99">
        <v>6727</v>
      </c>
      <c r="E7" s="99">
        <v>63</v>
      </c>
      <c r="F7" s="99">
        <v>4975</v>
      </c>
      <c r="G7" s="99">
        <v>9</v>
      </c>
      <c r="H7" s="99">
        <v>6901</v>
      </c>
      <c r="I7" s="99">
        <v>10</v>
      </c>
      <c r="J7" s="99">
        <v>52.11</v>
      </c>
      <c r="K7" s="99">
        <v>0</v>
      </c>
      <c r="L7" s="99">
        <v>0</v>
      </c>
      <c r="M7" s="99">
        <f t="shared" ref="M7:M63" si="0">C7+E7+G7+I7+K7</f>
        <v>3156</v>
      </c>
      <c r="N7" s="99">
        <f t="shared" ref="N7:N63" si="1">D7+F7+H7+J7+L7</f>
        <v>18655.11</v>
      </c>
      <c r="P7" s="109" t="s">
        <v>56</v>
      </c>
      <c r="Q7" s="62">
        <v>3945</v>
      </c>
      <c r="R7" s="111">
        <v>12554.96</v>
      </c>
      <c r="T7" s="111">
        <f t="shared" ref="T7:T63" si="2">N7-R7</f>
        <v>6100.1500000000015</v>
      </c>
    </row>
    <row r="8" spans="1:20" x14ac:dyDescent="0.2">
      <c r="A8" s="57">
        <v>3</v>
      </c>
      <c r="B8" s="98" t="s">
        <v>57</v>
      </c>
      <c r="C8" s="99">
        <v>17663</v>
      </c>
      <c r="D8" s="99">
        <v>129460</v>
      </c>
      <c r="E8" s="99">
        <v>3712</v>
      </c>
      <c r="F8" s="99">
        <v>109524</v>
      </c>
      <c r="G8" s="99">
        <v>157</v>
      </c>
      <c r="H8" s="99">
        <v>34529</v>
      </c>
      <c r="I8" s="99">
        <v>255</v>
      </c>
      <c r="J8" s="99">
        <v>3927</v>
      </c>
      <c r="K8" s="99">
        <v>9</v>
      </c>
      <c r="L8" s="99">
        <v>58</v>
      </c>
      <c r="M8" s="99">
        <f t="shared" si="0"/>
        <v>21796</v>
      </c>
      <c r="N8" s="99">
        <f t="shared" si="1"/>
        <v>277498</v>
      </c>
      <c r="P8" s="109" t="s">
        <v>57</v>
      </c>
      <c r="Q8" s="62">
        <v>21903</v>
      </c>
      <c r="R8" s="111">
        <v>272591</v>
      </c>
      <c r="T8" s="111">
        <f t="shared" si="2"/>
        <v>4907</v>
      </c>
    </row>
    <row r="9" spans="1:20" x14ac:dyDescent="0.2">
      <c r="A9" s="57">
        <v>4</v>
      </c>
      <c r="B9" s="98" t="s">
        <v>58</v>
      </c>
      <c r="C9" s="99">
        <v>68290</v>
      </c>
      <c r="D9" s="99">
        <v>136215</v>
      </c>
      <c r="E9" s="99">
        <v>4563</v>
      </c>
      <c r="F9" s="99">
        <v>114597</v>
      </c>
      <c r="G9" s="99">
        <v>209</v>
      </c>
      <c r="H9" s="99">
        <v>43491</v>
      </c>
      <c r="I9" s="99">
        <v>10</v>
      </c>
      <c r="J9" s="99">
        <v>45</v>
      </c>
      <c r="K9" s="99">
        <v>338</v>
      </c>
      <c r="L9" s="99">
        <v>96</v>
      </c>
      <c r="M9" s="99">
        <f t="shared" si="0"/>
        <v>73410</v>
      </c>
      <c r="N9" s="99">
        <f t="shared" si="1"/>
        <v>294444</v>
      </c>
      <c r="P9" s="109" t="s">
        <v>58</v>
      </c>
      <c r="Q9" s="62">
        <v>69346</v>
      </c>
      <c r="R9" s="111">
        <v>291187</v>
      </c>
      <c r="T9" s="111">
        <f t="shared" si="2"/>
        <v>3257</v>
      </c>
    </row>
    <row r="10" spans="1:20" x14ac:dyDescent="0.2">
      <c r="A10" s="57">
        <v>5</v>
      </c>
      <c r="B10" s="98" t="s">
        <v>59</v>
      </c>
      <c r="C10" s="99">
        <v>11935</v>
      </c>
      <c r="D10" s="99">
        <v>47286.97</v>
      </c>
      <c r="E10" s="99">
        <v>1189</v>
      </c>
      <c r="F10" s="99">
        <v>33788.39</v>
      </c>
      <c r="G10" s="99">
        <v>12</v>
      </c>
      <c r="H10" s="99">
        <v>2016.24</v>
      </c>
      <c r="I10" s="99">
        <v>2</v>
      </c>
      <c r="J10" s="99">
        <v>10.95</v>
      </c>
      <c r="K10" s="99">
        <v>793</v>
      </c>
      <c r="L10" s="99">
        <v>2338.63</v>
      </c>
      <c r="M10" s="99">
        <f t="shared" si="0"/>
        <v>13931</v>
      </c>
      <c r="N10" s="99">
        <f t="shared" si="1"/>
        <v>85441.180000000008</v>
      </c>
      <c r="P10" s="109" t="s">
        <v>59</v>
      </c>
      <c r="Q10" s="62">
        <v>19475</v>
      </c>
      <c r="R10" s="111">
        <v>94576</v>
      </c>
      <c r="T10" s="111">
        <f t="shared" si="2"/>
        <v>-9134.8199999999924</v>
      </c>
    </row>
    <row r="11" spans="1:20" x14ac:dyDescent="0.2">
      <c r="A11" s="57">
        <v>6</v>
      </c>
      <c r="B11" s="101" t="s">
        <v>242</v>
      </c>
      <c r="C11" s="99">
        <v>125</v>
      </c>
      <c r="D11" s="99">
        <v>169.91</v>
      </c>
      <c r="E11" s="99">
        <v>6</v>
      </c>
      <c r="F11" s="99">
        <v>68.23</v>
      </c>
      <c r="G11" s="99">
        <v>0</v>
      </c>
      <c r="H11" s="99">
        <v>0</v>
      </c>
      <c r="I11" s="99">
        <v>0</v>
      </c>
      <c r="J11" s="99">
        <v>0</v>
      </c>
      <c r="K11" s="99">
        <v>2</v>
      </c>
      <c r="L11" s="99">
        <v>4.78</v>
      </c>
      <c r="M11" s="99">
        <f t="shared" si="0"/>
        <v>133</v>
      </c>
      <c r="N11" s="99">
        <f t="shared" si="1"/>
        <v>242.92</v>
      </c>
      <c r="P11" s="109" t="s">
        <v>242</v>
      </c>
      <c r="Q11" s="62">
        <v>339</v>
      </c>
      <c r="R11" s="111">
        <v>242.92</v>
      </c>
      <c r="T11" s="111">
        <f t="shared" si="2"/>
        <v>0</v>
      </c>
    </row>
    <row r="12" spans="1:20" x14ac:dyDescent="0.2">
      <c r="A12" s="57">
        <v>7</v>
      </c>
      <c r="B12" s="98" t="s">
        <v>60</v>
      </c>
      <c r="C12" s="99">
        <v>24049</v>
      </c>
      <c r="D12" s="99">
        <v>70440</v>
      </c>
      <c r="E12" s="99">
        <v>2178</v>
      </c>
      <c r="F12" s="99">
        <v>69763</v>
      </c>
      <c r="G12" s="99">
        <v>92</v>
      </c>
      <c r="H12" s="99">
        <v>10071</v>
      </c>
      <c r="I12" s="99">
        <v>260</v>
      </c>
      <c r="J12" s="99">
        <v>1263</v>
      </c>
      <c r="K12" s="99">
        <v>1424</v>
      </c>
      <c r="L12" s="99">
        <v>4034</v>
      </c>
      <c r="M12" s="99">
        <f t="shared" si="0"/>
        <v>28003</v>
      </c>
      <c r="N12" s="99">
        <f t="shared" si="1"/>
        <v>155571</v>
      </c>
      <c r="P12" s="109" t="s">
        <v>60</v>
      </c>
      <c r="Q12" s="62">
        <v>16530</v>
      </c>
      <c r="R12" s="111">
        <v>154433</v>
      </c>
      <c r="T12" s="111">
        <f t="shared" si="2"/>
        <v>1138</v>
      </c>
    </row>
    <row r="13" spans="1:20" x14ac:dyDescent="0.2">
      <c r="A13" s="57">
        <v>8</v>
      </c>
      <c r="B13" s="98" t="s">
        <v>61</v>
      </c>
      <c r="C13" s="99">
        <v>59937</v>
      </c>
      <c r="D13" s="99">
        <v>164372</v>
      </c>
      <c r="E13" s="99">
        <v>10661</v>
      </c>
      <c r="F13" s="99">
        <v>39636</v>
      </c>
      <c r="G13" s="99">
        <v>40</v>
      </c>
      <c r="H13" s="99">
        <v>19951</v>
      </c>
      <c r="I13" s="99">
        <v>730</v>
      </c>
      <c r="J13" s="99">
        <v>1282</v>
      </c>
      <c r="K13" s="99">
        <v>27</v>
      </c>
      <c r="L13" s="99">
        <v>27639</v>
      </c>
      <c r="M13" s="99">
        <f t="shared" si="0"/>
        <v>71395</v>
      </c>
      <c r="N13" s="99">
        <f t="shared" si="1"/>
        <v>252880</v>
      </c>
      <c r="P13" s="109" t="s">
        <v>61</v>
      </c>
      <c r="Q13" s="62">
        <v>24063</v>
      </c>
      <c r="R13" s="111">
        <v>259399</v>
      </c>
      <c r="T13" s="111">
        <f t="shared" si="2"/>
        <v>-6519</v>
      </c>
    </row>
    <row r="14" spans="1:20" x14ac:dyDescent="0.2">
      <c r="A14" s="57">
        <v>9</v>
      </c>
      <c r="B14" s="98" t="s">
        <v>48</v>
      </c>
      <c r="C14" s="99">
        <v>6180</v>
      </c>
      <c r="D14" s="99">
        <v>13385.7</v>
      </c>
      <c r="E14" s="99">
        <v>624</v>
      </c>
      <c r="F14" s="99">
        <v>19025.5</v>
      </c>
      <c r="G14" s="99">
        <f>175+30</f>
        <v>205</v>
      </c>
      <c r="H14" s="99">
        <v>2150.13</v>
      </c>
      <c r="I14" s="99">
        <v>118</v>
      </c>
      <c r="J14" s="99">
        <v>4441.09</v>
      </c>
      <c r="K14" s="99">
        <v>17</v>
      </c>
      <c r="L14" s="99">
        <v>4003</v>
      </c>
      <c r="M14" s="99">
        <f t="shared" si="0"/>
        <v>7144</v>
      </c>
      <c r="N14" s="99">
        <f t="shared" si="1"/>
        <v>43005.42</v>
      </c>
      <c r="P14" s="109" t="s">
        <v>48</v>
      </c>
      <c r="Q14" s="62">
        <v>7607</v>
      </c>
      <c r="R14" s="111">
        <v>47438</v>
      </c>
      <c r="T14" s="111">
        <f t="shared" si="2"/>
        <v>-4432.5800000000017</v>
      </c>
    </row>
    <row r="15" spans="1:20" x14ac:dyDescent="0.2">
      <c r="A15" s="57">
        <v>10</v>
      </c>
      <c r="B15" s="98" t="s">
        <v>49</v>
      </c>
      <c r="C15" s="99">
        <v>9391</v>
      </c>
      <c r="D15" s="99">
        <v>21845</v>
      </c>
      <c r="E15" s="99">
        <v>286</v>
      </c>
      <c r="F15" s="99">
        <v>5364</v>
      </c>
      <c r="G15" s="99">
        <v>4</v>
      </c>
      <c r="H15" s="99">
        <v>1200</v>
      </c>
      <c r="I15" s="99">
        <v>50</v>
      </c>
      <c r="J15" s="99">
        <v>27</v>
      </c>
      <c r="K15" s="99">
        <v>0</v>
      </c>
      <c r="L15" s="99">
        <v>0</v>
      </c>
      <c r="M15" s="99">
        <f t="shared" si="0"/>
        <v>9731</v>
      </c>
      <c r="N15" s="99">
        <f t="shared" si="1"/>
        <v>28436</v>
      </c>
      <c r="P15" s="109" t="s">
        <v>49</v>
      </c>
      <c r="Q15" s="62">
        <v>9736</v>
      </c>
      <c r="R15" s="111">
        <v>32169</v>
      </c>
      <c r="T15" s="111">
        <f t="shared" si="2"/>
        <v>-3733</v>
      </c>
    </row>
    <row r="16" spans="1:20" x14ac:dyDescent="0.2">
      <c r="A16" s="57">
        <v>11</v>
      </c>
      <c r="B16" s="98" t="s">
        <v>81</v>
      </c>
      <c r="C16" s="99">
        <v>22755</v>
      </c>
      <c r="D16" s="99">
        <v>47514</v>
      </c>
      <c r="E16" s="99">
        <v>574</v>
      </c>
      <c r="F16" s="99">
        <f>22946-2838</f>
        <v>20108</v>
      </c>
      <c r="G16" s="99">
        <v>32</v>
      </c>
      <c r="H16" s="99">
        <v>7255</v>
      </c>
      <c r="I16" s="99">
        <v>40</v>
      </c>
      <c r="J16" s="99">
        <v>2838</v>
      </c>
      <c r="K16" s="99">
        <v>0</v>
      </c>
      <c r="L16" s="99">
        <v>0</v>
      </c>
      <c r="M16" s="99">
        <f t="shared" si="0"/>
        <v>23401</v>
      </c>
      <c r="N16" s="99">
        <f t="shared" si="1"/>
        <v>77715</v>
      </c>
      <c r="P16" s="109" t="s">
        <v>243</v>
      </c>
      <c r="Q16" s="62">
        <v>23460</v>
      </c>
      <c r="R16" s="111">
        <v>82072</v>
      </c>
      <c r="T16" s="111">
        <f t="shared" si="2"/>
        <v>-4357</v>
      </c>
    </row>
    <row r="17" spans="1:20" x14ac:dyDescent="0.2">
      <c r="A17" s="57">
        <v>12</v>
      </c>
      <c r="B17" s="98" t="s">
        <v>62</v>
      </c>
      <c r="C17" s="99">
        <v>1986</v>
      </c>
      <c r="D17" s="99">
        <v>4968</v>
      </c>
      <c r="E17" s="99">
        <v>156</v>
      </c>
      <c r="F17" s="99">
        <v>1438</v>
      </c>
      <c r="G17" s="99">
        <v>15</v>
      </c>
      <c r="H17" s="99">
        <v>194</v>
      </c>
      <c r="I17" s="99">
        <v>146</v>
      </c>
      <c r="J17" s="99">
        <v>516</v>
      </c>
      <c r="K17" s="99">
        <v>2122</v>
      </c>
      <c r="L17" s="99">
        <v>6115</v>
      </c>
      <c r="M17" s="99">
        <f t="shared" si="0"/>
        <v>4425</v>
      </c>
      <c r="N17" s="99">
        <f t="shared" si="1"/>
        <v>13231</v>
      </c>
      <c r="P17" s="109" t="s">
        <v>62</v>
      </c>
      <c r="Q17" s="62">
        <v>2070</v>
      </c>
      <c r="R17" s="111">
        <v>12295</v>
      </c>
      <c r="T17" s="111">
        <f t="shared" si="2"/>
        <v>936</v>
      </c>
    </row>
    <row r="18" spans="1:20" x14ac:dyDescent="0.2">
      <c r="A18" s="57">
        <v>13</v>
      </c>
      <c r="B18" s="98" t="s">
        <v>63</v>
      </c>
      <c r="C18" s="99">
        <v>3686</v>
      </c>
      <c r="D18" s="99">
        <v>8233</v>
      </c>
      <c r="E18" s="99">
        <v>533</v>
      </c>
      <c r="F18" s="99">
        <v>12367</v>
      </c>
      <c r="G18" s="99">
        <v>30</v>
      </c>
      <c r="H18" s="99">
        <v>8653</v>
      </c>
      <c r="I18" s="99">
        <v>21</v>
      </c>
      <c r="J18" s="99">
        <v>1231</v>
      </c>
      <c r="K18" s="99">
        <v>10</v>
      </c>
      <c r="L18" s="99">
        <v>15506</v>
      </c>
      <c r="M18" s="99">
        <f t="shared" si="0"/>
        <v>4280</v>
      </c>
      <c r="N18" s="99">
        <f t="shared" si="1"/>
        <v>45990</v>
      </c>
      <c r="P18" s="109" t="s">
        <v>63</v>
      </c>
      <c r="Q18" s="62">
        <v>1646</v>
      </c>
      <c r="R18" s="111">
        <v>48026</v>
      </c>
      <c r="T18" s="111">
        <f t="shared" si="2"/>
        <v>-2036</v>
      </c>
    </row>
    <row r="19" spans="1:20" x14ac:dyDescent="0.2">
      <c r="A19" s="57">
        <v>14</v>
      </c>
      <c r="B19" s="102" t="s">
        <v>207</v>
      </c>
      <c r="C19" s="99">
        <v>7598</v>
      </c>
      <c r="D19" s="99">
        <v>22791.45</v>
      </c>
      <c r="E19" s="99">
        <v>963</v>
      </c>
      <c r="F19" s="99">
        <v>15617.61</v>
      </c>
      <c r="G19" s="99">
        <v>24</v>
      </c>
      <c r="H19" s="99">
        <v>4591.47</v>
      </c>
      <c r="I19" s="99">
        <v>0</v>
      </c>
      <c r="J19" s="99">
        <v>0</v>
      </c>
      <c r="K19" s="99">
        <v>60</v>
      </c>
      <c r="L19" s="99">
        <v>42.19</v>
      </c>
      <c r="M19" s="99">
        <f t="shared" si="0"/>
        <v>8645</v>
      </c>
      <c r="N19" s="99">
        <f t="shared" si="1"/>
        <v>43042.720000000001</v>
      </c>
      <c r="P19" s="109" t="s">
        <v>265</v>
      </c>
      <c r="Q19" s="62">
        <v>8638</v>
      </c>
      <c r="R19" s="111">
        <v>41912.479999999996</v>
      </c>
      <c r="T19" s="111">
        <f t="shared" si="2"/>
        <v>1130.2400000000052</v>
      </c>
    </row>
    <row r="20" spans="1:20" x14ac:dyDescent="0.2">
      <c r="A20" s="57">
        <v>15</v>
      </c>
      <c r="B20" s="98" t="s">
        <v>208</v>
      </c>
      <c r="C20" s="99">
        <v>2846</v>
      </c>
      <c r="D20" s="99">
        <v>1438</v>
      </c>
      <c r="E20" s="99">
        <v>3439</v>
      </c>
      <c r="F20" s="99">
        <v>24840.7</v>
      </c>
      <c r="G20" s="99">
        <v>24</v>
      </c>
      <c r="H20" s="99">
        <v>5654.3</v>
      </c>
      <c r="I20" s="99">
        <v>16</v>
      </c>
      <c r="J20" s="99">
        <v>31</v>
      </c>
      <c r="K20" s="99">
        <v>0</v>
      </c>
      <c r="L20" s="99">
        <v>0</v>
      </c>
      <c r="M20" s="99">
        <f t="shared" si="0"/>
        <v>6325</v>
      </c>
      <c r="N20" s="99">
        <f t="shared" si="1"/>
        <v>31964</v>
      </c>
      <c r="P20" s="109" t="s">
        <v>244</v>
      </c>
      <c r="Q20" s="62">
        <v>5944</v>
      </c>
      <c r="R20" s="111">
        <v>33951</v>
      </c>
      <c r="T20" s="111">
        <f t="shared" si="2"/>
        <v>-1987</v>
      </c>
    </row>
    <row r="21" spans="1:20" x14ac:dyDescent="0.2">
      <c r="A21" s="57">
        <v>16</v>
      </c>
      <c r="B21" s="98" t="s">
        <v>64</v>
      </c>
      <c r="C21" s="99">
        <v>32236</v>
      </c>
      <c r="D21" s="99">
        <v>113871</v>
      </c>
      <c r="E21" s="99">
        <v>2711</v>
      </c>
      <c r="F21" s="99">
        <v>166398</v>
      </c>
      <c r="G21" s="99">
        <v>136</v>
      </c>
      <c r="H21" s="99">
        <v>28653</v>
      </c>
      <c r="I21" s="99">
        <v>22</v>
      </c>
      <c r="J21" s="99">
        <v>18</v>
      </c>
      <c r="K21" s="99">
        <v>0</v>
      </c>
      <c r="L21" s="99">
        <v>0</v>
      </c>
      <c r="M21" s="99">
        <f t="shared" si="0"/>
        <v>35105</v>
      </c>
      <c r="N21" s="99">
        <f t="shared" si="1"/>
        <v>308940</v>
      </c>
      <c r="P21" s="109" t="s">
        <v>64</v>
      </c>
      <c r="Q21" s="62">
        <v>31889</v>
      </c>
      <c r="R21" s="111">
        <v>306398</v>
      </c>
      <c r="T21" s="111">
        <f t="shared" si="2"/>
        <v>2542</v>
      </c>
    </row>
    <row r="22" spans="1:20" x14ac:dyDescent="0.2">
      <c r="A22" s="57">
        <v>17</v>
      </c>
      <c r="B22" s="103" t="s">
        <v>69</v>
      </c>
      <c r="C22" s="99">
        <v>445</v>
      </c>
      <c r="D22" s="99">
        <v>3245.06</v>
      </c>
      <c r="E22" s="99">
        <v>36</v>
      </c>
      <c r="F22" s="99">
        <v>910.38</v>
      </c>
      <c r="G22" s="99">
        <v>1</v>
      </c>
      <c r="H22" s="99">
        <v>423.94</v>
      </c>
      <c r="I22" s="99">
        <v>0</v>
      </c>
      <c r="J22" s="99">
        <v>0</v>
      </c>
      <c r="K22" s="99">
        <v>0</v>
      </c>
      <c r="L22" s="99">
        <v>0</v>
      </c>
      <c r="M22" s="99">
        <f t="shared" si="0"/>
        <v>482</v>
      </c>
      <c r="N22" s="99">
        <f t="shared" si="1"/>
        <v>4579.3799999999992</v>
      </c>
      <c r="P22" s="109" t="s">
        <v>245</v>
      </c>
      <c r="Q22" s="62">
        <v>90</v>
      </c>
      <c r="R22" s="111">
        <v>6994.7</v>
      </c>
      <c r="T22" s="111">
        <f t="shared" si="2"/>
        <v>-2415.3200000000006</v>
      </c>
    </row>
    <row r="23" spans="1:20" x14ac:dyDescent="0.2">
      <c r="A23" s="57">
        <v>18</v>
      </c>
      <c r="B23" s="98" t="s">
        <v>209</v>
      </c>
      <c r="C23" s="99">
        <v>292</v>
      </c>
      <c r="D23" s="99">
        <v>4093.11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116</v>
      </c>
      <c r="L23" s="99">
        <v>11716.69</v>
      </c>
      <c r="M23" s="99">
        <f t="shared" si="0"/>
        <v>408</v>
      </c>
      <c r="N23" s="99">
        <f t="shared" si="1"/>
        <v>15809.800000000001</v>
      </c>
      <c r="P23" s="109" t="s">
        <v>246</v>
      </c>
      <c r="Q23" s="62">
        <v>78</v>
      </c>
      <c r="R23" s="111">
        <v>987.92000000000007</v>
      </c>
      <c r="T23" s="111">
        <f t="shared" si="2"/>
        <v>14821.880000000001</v>
      </c>
    </row>
    <row r="24" spans="1:20" x14ac:dyDescent="0.2">
      <c r="A24" s="57">
        <v>19</v>
      </c>
      <c r="B24" s="104" t="s">
        <v>210</v>
      </c>
      <c r="C24" s="99">
        <v>899</v>
      </c>
      <c r="D24" s="99">
        <v>7268</v>
      </c>
      <c r="E24" s="99">
        <v>95</v>
      </c>
      <c r="F24" s="99">
        <v>2093</v>
      </c>
      <c r="G24" s="99">
        <v>1</v>
      </c>
      <c r="H24" s="99">
        <v>700</v>
      </c>
      <c r="I24" s="99">
        <v>0</v>
      </c>
      <c r="J24" s="99">
        <v>0</v>
      </c>
      <c r="K24" s="99">
        <v>136</v>
      </c>
      <c r="L24" s="99">
        <v>231</v>
      </c>
      <c r="M24" s="99">
        <f t="shared" si="0"/>
        <v>1131</v>
      </c>
      <c r="N24" s="99">
        <f t="shared" si="1"/>
        <v>10292</v>
      </c>
      <c r="P24" s="109" t="s">
        <v>247</v>
      </c>
      <c r="Q24" s="62">
        <v>160</v>
      </c>
      <c r="R24" s="111">
        <v>1500</v>
      </c>
      <c r="T24" s="111">
        <f t="shared" si="2"/>
        <v>8792</v>
      </c>
    </row>
    <row r="25" spans="1:20" x14ac:dyDescent="0.2">
      <c r="A25" s="57">
        <v>20</v>
      </c>
      <c r="B25" s="98" t="s">
        <v>211</v>
      </c>
      <c r="C25" s="99">
        <v>12</v>
      </c>
      <c r="D25" s="99">
        <v>432</v>
      </c>
      <c r="E25" s="99">
        <v>57</v>
      </c>
      <c r="F25" s="99">
        <v>9658</v>
      </c>
      <c r="G25" s="99">
        <f>156+152</f>
        <v>308</v>
      </c>
      <c r="H25" s="99">
        <v>16297</v>
      </c>
      <c r="I25" s="99">
        <v>0</v>
      </c>
      <c r="J25" s="99">
        <v>0</v>
      </c>
      <c r="K25" s="99">
        <v>292</v>
      </c>
      <c r="L25" s="99">
        <v>20000</v>
      </c>
      <c r="M25" s="99">
        <f t="shared" si="0"/>
        <v>669</v>
      </c>
      <c r="N25" s="99">
        <f t="shared" si="1"/>
        <v>46387</v>
      </c>
      <c r="P25" s="109" t="s">
        <v>248</v>
      </c>
      <c r="Q25" s="62">
        <v>48</v>
      </c>
      <c r="R25" s="111">
        <v>38547</v>
      </c>
      <c r="T25" s="111">
        <f t="shared" si="2"/>
        <v>7840</v>
      </c>
    </row>
    <row r="26" spans="1:20" x14ac:dyDescent="0.2">
      <c r="A26" s="57">
        <v>21</v>
      </c>
      <c r="B26" s="98" t="s">
        <v>212</v>
      </c>
      <c r="C26" s="99">
        <v>1572</v>
      </c>
      <c r="D26" s="99">
        <v>6277</v>
      </c>
      <c r="E26" s="99">
        <v>27</v>
      </c>
      <c r="F26" s="99">
        <v>319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f t="shared" si="0"/>
        <v>1599</v>
      </c>
      <c r="N26" s="99">
        <f t="shared" si="1"/>
        <v>6596</v>
      </c>
      <c r="P26" s="109" t="s">
        <v>249</v>
      </c>
      <c r="Q26" s="62">
        <v>1513</v>
      </c>
      <c r="R26" s="111">
        <v>0</v>
      </c>
      <c r="T26" s="111">
        <f t="shared" si="2"/>
        <v>6596</v>
      </c>
    </row>
    <row r="27" spans="1:20" x14ac:dyDescent="0.2">
      <c r="A27" s="57">
        <v>22</v>
      </c>
      <c r="B27" s="98" t="s">
        <v>70</v>
      </c>
      <c r="C27" s="99">
        <v>77863</v>
      </c>
      <c r="D27" s="99">
        <v>113667</v>
      </c>
      <c r="E27" s="99">
        <v>8291</v>
      </c>
      <c r="F27" s="99">
        <v>257667</v>
      </c>
      <c r="G27" s="99">
        <v>325</v>
      </c>
      <c r="H27" s="99">
        <v>85110</v>
      </c>
      <c r="I27" s="99">
        <v>849</v>
      </c>
      <c r="J27" s="99">
        <v>3068</v>
      </c>
      <c r="K27" s="99">
        <v>1532</v>
      </c>
      <c r="L27" s="99">
        <v>18327</v>
      </c>
      <c r="M27" s="99">
        <f t="shared" si="0"/>
        <v>88860</v>
      </c>
      <c r="N27" s="99">
        <f t="shared" si="1"/>
        <v>477839</v>
      </c>
      <c r="P27" s="109" t="s">
        <v>70</v>
      </c>
      <c r="Q27" s="62">
        <v>576325</v>
      </c>
      <c r="R27" s="111">
        <v>494677</v>
      </c>
      <c r="T27" s="111">
        <f t="shared" si="2"/>
        <v>-16838</v>
      </c>
    </row>
    <row r="28" spans="1:20" x14ac:dyDescent="0.2">
      <c r="A28" s="57">
        <v>23</v>
      </c>
      <c r="B28" s="98" t="s">
        <v>65</v>
      </c>
      <c r="C28" s="99">
        <v>4114</v>
      </c>
      <c r="D28" s="99">
        <v>11405</v>
      </c>
      <c r="E28" s="99">
        <v>314</v>
      </c>
      <c r="F28" s="99">
        <v>5896</v>
      </c>
      <c r="G28" s="99">
        <v>14</v>
      </c>
      <c r="H28" s="99">
        <v>1539</v>
      </c>
      <c r="I28" s="99">
        <v>3</v>
      </c>
      <c r="J28" s="99">
        <v>16</v>
      </c>
      <c r="K28" s="99">
        <v>8586</v>
      </c>
      <c r="L28" s="99">
        <v>15438</v>
      </c>
      <c r="M28" s="99">
        <f t="shared" si="0"/>
        <v>13031</v>
      </c>
      <c r="N28" s="99">
        <f t="shared" si="1"/>
        <v>34294</v>
      </c>
      <c r="P28" s="109" t="s">
        <v>65</v>
      </c>
      <c r="Q28" s="62">
        <v>12529</v>
      </c>
      <c r="R28" s="111">
        <v>35159</v>
      </c>
      <c r="T28" s="111">
        <f t="shared" si="2"/>
        <v>-865</v>
      </c>
    </row>
    <row r="29" spans="1:20" x14ac:dyDescent="0.2">
      <c r="A29" s="57">
        <v>24</v>
      </c>
      <c r="B29" s="98" t="s">
        <v>213</v>
      </c>
      <c r="C29" s="99">
        <v>3619</v>
      </c>
      <c r="D29" s="99">
        <v>49679</v>
      </c>
      <c r="E29" s="99">
        <v>2853</v>
      </c>
      <c r="F29" s="99">
        <v>59573</v>
      </c>
      <c r="G29" s="99">
        <v>872</v>
      </c>
      <c r="H29" s="99">
        <v>34619</v>
      </c>
      <c r="I29" s="99">
        <v>85</v>
      </c>
      <c r="J29" s="99">
        <v>91</v>
      </c>
      <c r="K29" s="99">
        <v>1883</v>
      </c>
      <c r="L29" s="99">
        <v>7644</v>
      </c>
      <c r="M29" s="99">
        <f t="shared" si="0"/>
        <v>9312</v>
      </c>
      <c r="N29" s="99">
        <f t="shared" si="1"/>
        <v>151606</v>
      </c>
      <c r="P29" s="109" t="s">
        <v>213</v>
      </c>
      <c r="Q29" s="62">
        <v>10637</v>
      </c>
      <c r="R29" s="111">
        <v>187048</v>
      </c>
      <c r="T29" s="111">
        <f t="shared" si="2"/>
        <v>-35442</v>
      </c>
    </row>
    <row r="30" spans="1:20" x14ac:dyDescent="0.2">
      <c r="A30" s="57">
        <v>25</v>
      </c>
      <c r="B30" s="98" t="s">
        <v>66</v>
      </c>
      <c r="C30" s="99">
        <v>36162</v>
      </c>
      <c r="D30" s="99">
        <v>76075</v>
      </c>
      <c r="E30" s="99">
        <v>3254</v>
      </c>
      <c r="F30" s="99">
        <v>72709</v>
      </c>
      <c r="G30" s="99">
        <v>421</v>
      </c>
      <c r="H30" s="99">
        <v>17560</v>
      </c>
      <c r="I30" s="99">
        <v>84</v>
      </c>
      <c r="J30" s="99">
        <v>291</v>
      </c>
      <c r="K30" s="99">
        <v>2</v>
      </c>
      <c r="L30" s="99">
        <v>1</v>
      </c>
      <c r="M30" s="99">
        <f t="shared" si="0"/>
        <v>39923</v>
      </c>
      <c r="N30" s="99">
        <f t="shared" si="1"/>
        <v>166636</v>
      </c>
      <c r="P30" s="109" t="s">
        <v>66</v>
      </c>
      <c r="Q30" s="62">
        <v>44985</v>
      </c>
      <c r="R30" s="111">
        <v>169446.74000000002</v>
      </c>
      <c r="T30" s="111">
        <f t="shared" si="2"/>
        <v>-2810.7400000000198</v>
      </c>
    </row>
    <row r="31" spans="1:20" x14ac:dyDescent="0.2">
      <c r="A31" s="57">
        <v>26</v>
      </c>
      <c r="B31" s="101" t="s">
        <v>67</v>
      </c>
      <c r="C31" s="99">
        <v>789</v>
      </c>
      <c r="D31" s="99">
        <v>4092</v>
      </c>
      <c r="E31" s="99">
        <v>4</v>
      </c>
      <c r="F31" s="99">
        <v>24.8</v>
      </c>
      <c r="G31" s="99">
        <v>289</v>
      </c>
      <c r="H31" s="99">
        <v>1985</v>
      </c>
      <c r="I31" s="99">
        <v>2</v>
      </c>
      <c r="J31" s="99">
        <v>0.2</v>
      </c>
      <c r="K31" s="99">
        <v>0</v>
      </c>
      <c r="L31" s="99">
        <v>0</v>
      </c>
      <c r="M31" s="99">
        <f t="shared" si="0"/>
        <v>1084</v>
      </c>
      <c r="N31" s="99">
        <f t="shared" si="1"/>
        <v>6102</v>
      </c>
      <c r="P31" s="109" t="s">
        <v>67</v>
      </c>
      <c r="Q31" s="62">
        <v>956</v>
      </c>
      <c r="R31" s="111">
        <v>6282.3</v>
      </c>
      <c r="T31" s="111">
        <f t="shared" si="2"/>
        <v>-180.30000000000018</v>
      </c>
    </row>
    <row r="32" spans="1:20" x14ac:dyDescent="0.2">
      <c r="A32" s="57">
        <v>27</v>
      </c>
      <c r="B32" s="98" t="s">
        <v>50</v>
      </c>
      <c r="C32" s="99">
        <v>5006</v>
      </c>
      <c r="D32" s="99">
        <v>15618</v>
      </c>
      <c r="E32" s="99">
        <v>313</v>
      </c>
      <c r="F32" s="99">
        <v>7788</v>
      </c>
      <c r="G32" s="99">
        <v>8</v>
      </c>
      <c r="H32" s="99">
        <v>959</v>
      </c>
      <c r="I32" s="99">
        <v>0</v>
      </c>
      <c r="J32" s="99">
        <v>0</v>
      </c>
      <c r="K32" s="99">
        <v>1876</v>
      </c>
      <c r="L32" s="99">
        <v>3951</v>
      </c>
      <c r="M32" s="99">
        <f t="shared" si="0"/>
        <v>7203</v>
      </c>
      <c r="N32" s="99">
        <f t="shared" si="1"/>
        <v>28316</v>
      </c>
      <c r="P32" s="109" t="s">
        <v>50</v>
      </c>
      <c r="Q32" s="62">
        <v>7467</v>
      </c>
      <c r="R32" s="111">
        <v>31490</v>
      </c>
      <c r="T32" s="111">
        <f t="shared" si="2"/>
        <v>-3174</v>
      </c>
    </row>
    <row r="33" spans="1:20" s="108" customFormat="1" x14ac:dyDescent="0.2">
      <c r="A33" s="57"/>
      <c r="B33" s="105" t="s">
        <v>288</v>
      </c>
      <c r="C33" s="106">
        <f>SUM(C6:C32)</f>
        <v>423899</v>
      </c>
      <c r="D33" s="106">
        <f t="shared" ref="D33:L33" si="3">SUM(D6:D32)</f>
        <v>1158322.1999999997</v>
      </c>
      <c r="E33" s="106">
        <f t="shared" si="3"/>
        <v>50416</v>
      </c>
      <c r="F33" s="106">
        <f t="shared" si="3"/>
        <v>1126295.6100000001</v>
      </c>
      <c r="G33" s="106">
        <f t="shared" si="3"/>
        <v>3285</v>
      </c>
      <c r="H33" s="106">
        <f t="shared" si="3"/>
        <v>350389.07999999996</v>
      </c>
      <c r="I33" s="106">
        <f t="shared" si="3"/>
        <v>2946</v>
      </c>
      <c r="J33" s="106">
        <f t="shared" si="3"/>
        <v>19555.350000000002</v>
      </c>
      <c r="K33" s="106">
        <f t="shared" si="3"/>
        <v>19225</v>
      </c>
      <c r="L33" s="106">
        <f t="shared" si="3"/>
        <v>137145.29</v>
      </c>
      <c r="M33" s="106">
        <f t="shared" si="0"/>
        <v>499771</v>
      </c>
      <c r="N33" s="106">
        <f t="shared" si="1"/>
        <v>2791707.53</v>
      </c>
      <c r="P33" s="109" t="s">
        <v>250</v>
      </c>
      <c r="Q33" s="108">
        <v>578214</v>
      </c>
      <c r="R33" s="112">
        <v>2830855.0200000005</v>
      </c>
      <c r="T33" s="111">
        <f t="shared" si="2"/>
        <v>-39147.490000000689</v>
      </c>
    </row>
    <row r="34" spans="1:20" x14ac:dyDescent="0.2">
      <c r="A34" s="57">
        <v>28</v>
      </c>
      <c r="B34" s="98" t="s">
        <v>47</v>
      </c>
      <c r="C34" s="99">
        <v>3327</v>
      </c>
      <c r="D34" s="99">
        <v>50204.5</v>
      </c>
      <c r="E34" s="99">
        <v>1171</v>
      </c>
      <c r="F34" s="99">
        <v>63138.44</v>
      </c>
      <c r="G34" s="99">
        <v>177</v>
      </c>
      <c r="H34" s="99">
        <v>14012.39</v>
      </c>
      <c r="I34" s="99">
        <v>1</v>
      </c>
      <c r="J34" s="99">
        <v>15.81</v>
      </c>
      <c r="K34" s="99">
        <v>0</v>
      </c>
      <c r="L34" s="99">
        <v>0</v>
      </c>
      <c r="M34" s="99">
        <f t="shared" si="0"/>
        <v>4676</v>
      </c>
      <c r="N34" s="99">
        <f t="shared" si="1"/>
        <v>127371.14</v>
      </c>
      <c r="P34" s="109" t="s">
        <v>47</v>
      </c>
      <c r="Q34" s="62">
        <v>3810</v>
      </c>
      <c r="R34" s="111">
        <v>139008.03</v>
      </c>
      <c r="T34" s="111">
        <f t="shared" si="2"/>
        <v>-11636.89</v>
      </c>
    </row>
    <row r="35" spans="1:20" x14ac:dyDescent="0.2">
      <c r="A35" s="57">
        <v>29</v>
      </c>
      <c r="B35" s="98" t="s">
        <v>215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84941</v>
      </c>
      <c r="L35" s="99">
        <f>39691-17790</f>
        <v>21901</v>
      </c>
      <c r="M35" s="99">
        <f t="shared" si="0"/>
        <v>84941</v>
      </c>
      <c r="N35" s="99">
        <f t="shared" si="1"/>
        <v>21901</v>
      </c>
      <c r="P35" s="109" t="s">
        <v>215</v>
      </c>
      <c r="Q35" s="62">
        <v>96674</v>
      </c>
      <c r="R35" s="111">
        <v>24958</v>
      </c>
      <c r="T35" s="111">
        <f t="shared" si="2"/>
        <v>-3057</v>
      </c>
    </row>
    <row r="36" spans="1:20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f t="shared" si="0"/>
        <v>0</v>
      </c>
      <c r="N36" s="99">
        <f t="shared" si="1"/>
        <v>0</v>
      </c>
      <c r="R36" s="111">
        <v>0</v>
      </c>
      <c r="T36" s="111">
        <f t="shared" si="2"/>
        <v>0</v>
      </c>
    </row>
    <row r="37" spans="1:20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f t="shared" si="0"/>
        <v>0</v>
      </c>
      <c r="N37" s="99">
        <f t="shared" si="1"/>
        <v>0</v>
      </c>
      <c r="R37" s="111">
        <v>0</v>
      </c>
      <c r="T37" s="111">
        <f t="shared" si="2"/>
        <v>0</v>
      </c>
    </row>
    <row r="38" spans="1:20" x14ac:dyDescent="0.2">
      <c r="A38" s="57">
        <v>32</v>
      </c>
      <c r="B38" s="98" t="s">
        <v>51</v>
      </c>
      <c r="C38" s="99">
        <v>63</v>
      </c>
      <c r="D38" s="99">
        <v>1685.59</v>
      </c>
      <c r="E38" s="99">
        <v>20</v>
      </c>
      <c r="F38" s="99">
        <v>1753.93</v>
      </c>
      <c r="G38" s="99">
        <v>4</v>
      </c>
      <c r="H38" s="99">
        <v>441.88</v>
      </c>
      <c r="I38" s="99">
        <v>0</v>
      </c>
      <c r="J38" s="99">
        <v>0</v>
      </c>
      <c r="K38" s="99">
        <v>0</v>
      </c>
      <c r="L38" s="99">
        <v>0</v>
      </c>
      <c r="M38" s="99">
        <f t="shared" si="0"/>
        <v>87</v>
      </c>
      <c r="N38" s="99">
        <f t="shared" si="1"/>
        <v>3881.4</v>
      </c>
      <c r="P38" s="109" t="s">
        <v>51</v>
      </c>
      <c r="Q38" s="62">
        <v>95</v>
      </c>
      <c r="R38" s="111">
        <v>4015.47</v>
      </c>
      <c r="T38" s="111">
        <f t="shared" si="2"/>
        <v>-134.06999999999971</v>
      </c>
    </row>
    <row r="39" spans="1:20" x14ac:dyDescent="0.2">
      <c r="A39" s="57">
        <v>33</v>
      </c>
      <c r="B39" s="98" t="s">
        <v>217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f t="shared" si="0"/>
        <v>0</v>
      </c>
      <c r="N39" s="99">
        <f t="shared" si="1"/>
        <v>0</v>
      </c>
      <c r="P39" s="109" t="s">
        <v>251</v>
      </c>
      <c r="Q39" s="62">
        <v>0</v>
      </c>
      <c r="R39" s="111">
        <v>0</v>
      </c>
      <c r="T39" s="111">
        <f t="shared" si="2"/>
        <v>0</v>
      </c>
    </row>
    <row r="40" spans="1:20" x14ac:dyDescent="0.2">
      <c r="A40" s="57">
        <v>34</v>
      </c>
      <c r="B40" s="98" t="s">
        <v>218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f t="shared" si="0"/>
        <v>0</v>
      </c>
      <c r="N40" s="99">
        <f t="shared" si="1"/>
        <v>0</v>
      </c>
      <c r="P40" s="109" t="s">
        <v>252</v>
      </c>
      <c r="Q40" s="62">
        <v>0</v>
      </c>
      <c r="R40" s="111">
        <v>0</v>
      </c>
      <c r="T40" s="111">
        <f t="shared" si="2"/>
        <v>0</v>
      </c>
    </row>
    <row r="41" spans="1:20" x14ac:dyDescent="0.2">
      <c r="A41" s="57">
        <v>35</v>
      </c>
      <c r="B41" s="98" t="s">
        <v>219</v>
      </c>
      <c r="C41" s="99">
        <v>66</v>
      </c>
      <c r="D41" s="99">
        <v>1425.61</v>
      </c>
      <c r="E41" s="99">
        <v>18</v>
      </c>
      <c r="F41" s="99">
        <v>399.57</v>
      </c>
      <c r="G41" s="99">
        <v>6</v>
      </c>
      <c r="H41" s="99">
        <v>841.43</v>
      </c>
      <c r="I41" s="99">
        <v>0</v>
      </c>
      <c r="J41" s="99">
        <v>0</v>
      </c>
      <c r="K41" s="99">
        <v>0</v>
      </c>
      <c r="L41" s="99">
        <v>0</v>
      </c>
      <c r="M41" s="99">
        <f t="shared" si="0"/>
        <v>90</v>
      </c>
      <c r="N41" s="99">
        <f t="shared" si="1"/>
        <v>2666.6099999999997</v>
      </c>
      <c r="P41" s="109" t="s">
        <v>253</v>
      </c>
      <c r="Q41" s="62">
        <v>91</v>
      </c>
      <c r="R41" s="111">
        <v>4552.34</v>
      </c>
      <c r="T41" s="111">
        <f t="shared" si="2"/>
        <v>-1885.7300000000005</v>
      </c>
    </row>
    <row r="42" spans="1:20" x14ac:dyDescent="0.2">
      <c r="A42" s="57">
        <v>36</v>
      </c>
      <c r="B42" s="98" t="s">
        <v>71</v>
      </c>
      <c r="C42" s="99">
        <v>140244</v>
      </c>
      <c r="D42" s="99">
        <v>140299</v>
      </c>
      <c r="E42" s="99">
        <v>10771</v>
      </c>
      <c r="F42" s="99">
        <v>115510</v>
      </c>
      <c r="G42" s="99">
        <v>833</v>
      </c>
      <c r="H42" s="99">
        <v>15006</v>
      </c>
      <c r="I42" s="99">
        <v>0</v>
      </c>
      <c r="J42" s="99">
        <v>0</v>
      </c>
      <c r="K42" s="99">
        <v>0</v>
      </c>
      <c r="L42" s="99">
        <v>0</v>
      </c>
      <c r="M42" s="99">
        <f t="shared" si="0"/>
        <v>151848</v>
      </c>
      <c r="N42" s="99">
        <f t="shared" si="1"/>
        <v>270815</v>
      </c>
      <c r="P42" s="109" t="s">
        <v>254</v>
      </c>
      <c r="Q42" s="62">
        <v>141674</v>
      </c>
      <c r="R42" s="111">
        <v>274311</v>
      </c>
      <c r="T42" s="111">
        <f t="shared" si="2"/>
        <v>-3496</v>
      </c>
    </row>
    <row r="43" spans="1:20" x14ac:dyDescent="0.2">
      <c r="A43" s="57">
        <v>37</v>
      </c>
      <c r="B43" s="98" t="s">
        <v>72</v>
      </c>
      <c r="C43" s="99">
        <v>8266</v>
      </c>
      <c r="D43" s="99">
        <v>77708</v>
      </c>
      <c r="E43" s="99">
        <v>13091</v>
      </c>
      <c r="F43" s="99">
        <v>109839</v>
      </c>
      <c r="G43" s="99">
        <v>236</v>
      </c>
      <c r="H43" s="99">
        <v>11797</v>
      </c>
      <c r="I43" s="99">
        <v>0</v>
      </c>
      <c r="J43" s="99">
        <v>0</v>
      </c>
      <c r="K43" s="99">
        <v>0</v>
      </c>
      <c r="L43" s="99">
        <v>0</v>
      </c>
      <c r="M43" s="99">
        <f t="shared" si="0"/>
        <v>21593</v>
      </c>
      <c r="N43" s="99">
        <f t="shared" si="1"/>
        <v>199344</v>
      </c>
      <c r="P43" s="109" t="s">
        <v>255</v>
      </c>
      <c r="Q43" s="62">
        <v>17883</v>
      </c>
      <c r="R43" s="111">
        <v>181438.22999999998</v>
      </c>
      <c r="T43" s="111">
        <f t="shared" si="2"/>
        <v>17905.770000000019</v>
      </c>
    </row>
    <row r="44" spans="1:20" x14ac:dyDescent="0.2">
      <c r="A44" s="57">
        <v>38</v>
      </c>
      <c r="B44" s="98" t="s">
        <v>220</v>
      </c>
      <c r="C44" s="99">
        <v>74447</v>
      </c>
      <c r="D44" s="99">
        <v>6346</v>
      </c>
      <c r="E44" s="99">
        <v>196</v>
      </c>
      <c r="F44" s="99">
        <v>131</v>
      </c>
      <c r="G44" s="99">
        <v>10</v>
      </c>
      <c r="H44" s="99">
        <v>6</v>
      </c>
      <c r="I44" s="99">
        <v>120</v>
      </c>
      <c r="J44" s="99">
        <v>58</v>
      </c>
      <c r="K44" s="99">
        <v>4</v>
      </c>
      <c r="L44" s="99">
        <v>9</v>
      </c>
      <c r="M44" s="99">
        <f t="shared" si="0"/>
        <v>74777</v>
      </c>
      <c r="N44" s="99">
        <f t="shared" si="1"/>
        <v>6550</v>
      </c>
      <c r="R44" s="111">
        <v>0</v>
      </c>
      <c r="T44" s="111">
        <f t="shared" si="2"/>
        <v>6550</v>
      </c>
    </row>
    <row r="45" spans="1:20" x14ac:dyDescent="0.2">
      <c r="A45" s="57">
        <v>39</v>
      </c>
      <c r="B45" s="98" t="s">
        <v>221</v>
      </c>
      <c r="C45" s="99">
        <v>24648</v>
      </c>
      <c r="D45" s="99">
        <v>18661</v>
      </c>
      <c r="E45" s="99">
        <v>8215</v>
      </c>
      <c r="F45" s="99">
        <v>73995</v>
      </c>
      <c r="G45" s="99">
        <v>20</v>
      </c>
      <c r="H45" s="99">
        <v>2767</v>
      </c>
      <c r="I45" s="99">
        <v>0</v>
      </c>
      <c r="J45" s="99">
        <v>0</v>
      </c>
      <c r="K45" s="99">
        <v>2689</v>
      </c>
      <c r="L45" s="99">
        <v>18593</v>
      </c>
      <c r="M45" s="99">
        <f t="shared" si="0"/>
        <v>35572</v>
      </c>
      <c r="N45" s="99">
        <f t="shared" si="1"/>
        <v>114016</v>
      </c>
      <c r="P45" s="109" t="s">
        <v>256</v>
      </c>
      <c r="Q45" s="62">
        <v>717</v>
      </c>
      <c r="R45" s="111">
        <v>87644</v>
      </c>
      <c r="T45" s="111">
        <f t="shared" si="2"/>
        <v>26372</v>
      </c>
    </row>
    <row r="46" spans="1:20" x14ac:dyDescent="0.2">
      <c r="A46" s="57">
        <v>40</v>
      </c>
      <c r="B46" s="98" t="s">
        <v>222</v>
      </c>
      <c r="C46" s="99">
        <v>122</v>
      </c>
      <c r="D46" s="99">
        <v>535</v>
      </c>
      <c r="E46" s="99">
        <v>117</v>
      </c>
      <c r="F46" s="99">
        <v>289</v>
      </c>
      <c r="G46" s="99">
        <v>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f t="shared" si="0"/>
        <v>239</v>
      </c>
      <c r="N46" s="99">
        <f t="shared" si="1"/>
        <v>824</v>
      </c>
      <c r="P46" s="109" t="s">
        <v>257</v>
      </c>
      <c r="Q46" s="62">
        <v>235</v>
      </c>
      <c r="R46" s="111">
        <v>781</v>
      </c>
      <c r="T46" s="111">
        <f t="shared" si="2"/>
        <v>43</v>
      </c>
    </row>
    <row r="47" spans="1:20" x14ac:dyDescent="0.2">
      <c r="A47" s="57">
        <v>41</v>
      </c>
      <c r="B47" s="98" t="s">
        <v>223</v>
      </c>
      <c r="C47" s="99">
        <v>188</v>
      </c>
      <c r="D47" s="99">
        <v>5199</v>
      </c>
      <c r="E47" s="99">
        <v>85</v>
      </c>
      <c r="F47" s="99">
        <v>2928.32</v>
      </c>
      <c r="G47" s="99">
        <v>19</v>
      </c>
      <c r="H47" s="99">
        <v>2988</v>
      </c>
      <c r="I47" s="99">
        <v>0</v>
      </c>
      <c r="J47" s="99">
        <v>0</v>
      </c>
      <c r="K47" s="99">
        <v>40</v>
      </c>
      <c r="L47" s="99">
        <v>1456.32</v>
      </c>
      <c r="M47" s="99">
        <f t="shared" si="0"/>
        <v>332</v>
      </c>
      <c r="N47" s="99">
        <f t="shared" si="1"/>
        <v>12571.64</v>
      </c>
      <c r="P47" s="109" t="s">
        <v>258</v>
      </c>
      <c r="Q47" s="62">
        <v>364</v>
      </c>
      <c r="R47" s="111">
        <v>8122.11</v>
      </c>
      <c r="T47" s="111">
        <f t="shared" si="2"/>
        <v>4449.53</v>
      </c>
    </row>
    <row r="48" spans="1:20" x14ac:dyDescent="0.2">
      <c r="A48" s="57">
        <v>42</v>
      </c>
      <c r="B48" s="98" t="s">
        <v>224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f t="shared" si="0"/>
        <v>0</v>
      </c>
      <c r="N48" s="99">
        <f t="shared" si="1"/>
        <v>0</v>
      </c>
      <c r="P48" s="109" t="s">
        <v>93</v>
      </c>
      <c r="Q48" s="62">
        <v>12</v>
      </c>
      <c r="R48" s="111">
        <v>0</v>
      </c>
      <c r="T48" s="111">
        <f t="shared" si="2"/>
        <v>0</v>
      </c>
    </row>
    <row r="49" spans="1:20" x14ac:dyDescent="0.2">
      <c r="A49" s="57">
        <v>43</v>
      </c>
      <c r="B49" s="107" t="s">
        <v>73</v>
      </c>
      <c r="C49" s="99">
        <v>869</v>
      </c>
      <c r="D49" s="99">
        <v>26679</v>
      </c>
      <c r="E49" s="99">
        <v>1799</v>
      </c>
      <c r="F49" s="99">
        <v>41200</v>
      </c>
      <c r="G49" s="99">
        <v>282</v>
      </c>
      <c r="H49" s="99">
        <v>4398</v>
      </c>
      <c r="I49" s="99">
        <v>0</v>
      </c>
      <c r="J49" s="99">
        <v>0</v>
      </c>
      <c r="K49" s="99">
        <v>0</v>
      </c>
      <c r="L49" s="99">
        <v>0</v>
      </c>
      <c r="M49" s="99">
        <f t="shared" si="0"/>
        <v>2950</v>
      </c>
      <c r="N49" s="99">
        <f t="shared" si="1"/>
        <v>72277</v>
      </c>
      <c r="P49" s="109" t="s">
        <v>259</v>
      </c>
      <c r="Q49" s="62">
        <v>2347</v>
      </c>
      <c r="R49" s="111">
        <v>61943</v>
      </c>
      <c r="T49" s="111">
        <f t="shared" si="2"/>
        <v>10334</v>
      </c>
    </row>
    <row r="50" spans="1:20" x14ac:dyDescent="0.2">
      <c r="A50" s="57">
        <v>44</v>
      </c>
      <c r="B50" s="98" t="s">
        <v>225</v>
      </c>
      <c r="C50" s="99">
        <v>1</v>
      </c>
      <c r="D50" s="99">
        <v>216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f t="shared" si="0"/>
        <v>1</v>
      </c>
      <c r="N50" s="99">
        <f t="shared" si="1"/>
        <v>216</v>
      </c>
      <c r="P50" s="109" t="s">
        <v>260</v>
      </c>
      <c r="Q50" s="62">
        <v>2</v>
      </c>
      <c r="R50" s="111">
        <v>0</v>
      </c>
      <c r="T50" s="111">
        <f t="shared" si="2"/>
        <v>216</v>
      </c>
    </row>
    <row r="51" spans="1:20" x14ac:dyDescent="0.2">
      <c r="A51" s="57">
        <v>45</v>
      </c>
      <c r="B51" s="98" t="s">
        <v>226</v>
      </c>
      <c r="C51" s="99">
        <v>2540</v>
      </c>
      <c r="D51" s="99">
        <v>9364</v>
      </c>
      <c r="E51" s="99">
        <v>296</v>
      </c>
      <c r="F51" s="99">
        <v>6677</v>
      </c>
      <c r="G51" s="99">
        <v>10</v>
      </c>
      <c r="H51" s="99">
        <v>528</v>
      </c>
      <c r="I51" s="99">
        <v>0</v>
      </c>
      <c r="J51" s="99">
        <v>0</v>
      </c>
      <c r="K51" s="99">
        <v>0</v>
      </c>
      <c r="L51" s="99">
        <v>0</v>
      </c>
      <c r="M51" s="99">
        <f t="shared" si="0"/>
        <v>2846</v>
      </c>
      <c r="N51" s="99">
        <f t="shared" si="1"/>
        <v>16569</v>
      </c>
      <c r="P51" s="109" t="s">
        <v>261</v>
      </c>
      <c r="Q51" s="62">
        <v>6022</v>
      </c>
      <c r="R51" s="111">
        <v>15909</v>
      </c>
      <c r="T51" s="111">
        <f t="shared" si="2"/>
        <v>660</v>
      </c>
    </row>
    <row r="52" spans="1:20" x14ac:dyDescent="0.2">
      <c r="A52" s="57">
        <v>46</v>
      </c>
      <c r="B52" s="98" t="s">
        <v>227</v>
      </c>
      <c r="C52" s="99">
        <v>15</v>
      </c>
      <c r="D52" s="99">
        <v>205</v>
      </c>
      <c r="E52" s="99">
        <v>65</v>
      </c>
      <c r="F52" s="99">
        <v>2302</v>
      </c>
      <c r="G52" s="99">
        <v>4</v>
      </c>
      <c r="H52" s="99">
        <v>105</v>
      </c>
      <c r="I52" s="99">
        <v>0</v>
      </c>
      <c r="J52" s="99">
        <v>0</v>
      </c>
      <c r="K52" s="99">
        <v>79</v>
      </c>
      <c r="L52" s="99">
        <v>2450</v>
      </c>
      <c r="M52" s="99">
        <f t="shared" si="0"/>
        <v>163</v>
      </c>
      <c r="N52" s="99">
        <f t="shared" si="1"/>
        <v>5062</v>
      </c>
      <c r="P52" s="109" t="s">
        <v>227</v>
      </c>
      <c r="Q52" s="62">
        <v>77</v>
      </c>
      <c r="R52" s="111">
        <v>4666.72</v>
      </c>
      <c r="T52" s="111">
        <f t="shared" si="2"/>
        <v>395.27999999999975</v>
      </c>
    </row>
    <row r="53" spans="1:20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f t="shared" si="0"/>
        <v>0</v>
      </c>
      <c r="N53" s="99">
        <f t="shared" si="1"/>
        <v>0</v>
      </c>
      <c r="R53" s="111">
        <v>0</v>
      </c>
      <c r="T53" s="111">
        <f t="shared" si="2"/>
        <v>0</v>
      </c>
    </row>
    <row r="54" spans="1:20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f t="shared" si="0"/>
        <v>0</v>
      </c>
      <c r="N54" s="99">
        <f t="shared" si="1"/>
        <v>0</v>
      </c>
      <c r="R54" s="111">
        <v>0</v>
      </c>
      <c r="T54" s="111">
        <f t="shared" si="2"/>
        <v>0</v>
      </c>
    </row>
    <row r="55" spans="1:20" x14ac:dyDescent="0.2">
      <c r="A55" s="57">
        <v>49</v>
      </c>
      <c r="B55" s="98" t="s">
        <v>76</v>
      </c>
      <c r="C55" s="249">
        <v>6047</v>
      </c>
      <c r="D55" s="249">
        <v>23758</v>
      </c>
      <c r="E55" s="250">
        <v>542</v>
      </c>
      <c r="F55" s="249">
        <v>11334</v>
      </c>
      <c r="G55" s="250">
        <v>19</v>
      </c>
      <c r="H55" s="249">
        <v>3040</v>
      </c>
      <c r="I55" s="250">
        <v>0</v>
      </c>
      <c r="J55" s="249">
        <v>0</v>
      </c>
      <c r="K55" s="250">
        <v>0</v>
      </c>
      <c r="L55" s="251">
        <v>0</v>
      </c>
      <c r="M55" s="99">
        <f t="shared" si="0"/>
        <v>6608</v>
      </c>
      <c r="N55" s="99">
        <f t="shared" si="1"/>
        <v>38132</v>
      </c>
      <c r="P55" s="109" t="s">
        <v>76</v>
      </c>
      <c r="Q55" s="62">
        <v>6490</v>
      </c>
      <c r="R55" s="111">
        <v>39891.72</v>
      </c>
      <c r="T55" s="111">
        <f t="shared" si="2"/>
        <v>-1759.7200000000012</v>
      </c>
    </row>
    <row r="56" spans="1:20" x14ac:dyDescent="0.2">
      <c r="A56" s="229"/>
      <c r="B56" s="105" t="s">
        <v>289</v>
      </c>
      <c r="C56" s="106">
        <f>SUM(C34:C55)</f>
        <v>260843</v>
      </c>
      <c r="D56" s="106">
        <f t="shared" ref="D56:L56" si="4">SUM(D34:D55)</f>
        <v>362285.7</v>
      </c>
      <c r="E56" s="106">
        <f t="shared" si="4"/>
        <v>36386</v>
      </c>
      <c r="F56" s="106">
        <f t="shared" si="4"/>
        <v>429497.26</v>
      </c>
      <c r="G56" s="106">
        <f t="shared" si="4"/>
        <v>1620</v>
      </c>
      <c r="H56" s="106">
        <f t="shared" si="4"/>
        <v>55930.7</v>
      </c>
      <c r="I56" s="106">
        <f t="shared" si="4"/>
        <v>121</v>
      </c>
      <c r="J56" s="106">
        <f t="shared" si="4"/>
        <v>73.81</v>
      </c>
      <c r="K56" s="106">
        <f t="shared" si="4"/>
        <v>87753</v>
      </c>
      <c r="L56" s="106">
        <f t="shared" si="4"/>
        <v>44409.32</v>
      </c>
      <c r="M56" s="106">
        <f t="shared" si="0"/>
        <v>386723</v>
      </c>
      <c r="N56" s="106">
        <f t="shared" si="1"/>
        <v>892196.78999999992</v>
      </c>
      <c r="R56" s="111">
        <v>847240.61999999988</v>
      </c>
      <c r="T56" s="111">
        <f t="shared" si="2"/>
        <v>44956.170000000042</v>
      </c>
    </row>
    <row r="57" spans="1:20" x14ac:dyDescent="0.2">
      <c r="A57" s="57">
        <v>48</v>
      </c>
      <c r="B57" s="98" t="s">
        <v>46</v>
      </c>
      <c r="C57" s="99">
        <v>42624</v>
      </c>
      <c r="D57" s="99">
        <v>21631.88</v>
      </c>
      <c r="E57" s="99">
        <v>8735</v>
      </c>
      <c r="F57" s="99">
        <v>4433.28</v>
      </c>
      <c r="G57" s="99">
        <v>0</v>
      </c>
      <c r="H57" s="99">
        <v>0</v>
      </c>
      <c r="I57" s="99">
        <v>2932</v>
      </c>
      <c r="J57" s="99">
        <v>1487.86</v>
      </c>
      <c r="K57" s="99">
        <v>0</v>
      </c>
      <c r="L57" s="99">
        <v>0</v>
      </c>
      <c r="M57" s="99">
        <f t="shared" si="0"/>
        <v>54291</v>
      </c>
      <c r="N57" s="99">
        <f t="shared" si="1"/>
        <v>27553.02</v>
      </c>
      <c r="P57" s="109" t="s">
        <v>46</v>
      </c>
      <c r="Q57" s="62">
        <v>113141</v>
      </c>
      <c r="R57" s="111">
        <v>24924.899999999998</v>
      </c>
      <c r="T57" s="111">
        <f t="shared" si="2"/>
        <v>2628.1200000000026</v>
      </c>
    </row>
    <row r="58" spans="1:20" x14ac:dyDescent="0.2">
      <c r="A58" s="57">
        <v>49</v>
      </c>
      <c r="B58" s="98" t="s">
        <v>229</v>
      </c>
      <c r="C58" s="99">
        <v>39370</v>
      </c>
      <c r="D58" s="99">
        <v>18178</v>
      </c>
      <c r="E58" s="99">
        <v>0</v>
      </c>
      <c r="F58" s="99">
        <v>0</v>
      </c>
      <c r="G58" s="99">
        <v>0</v>
      </c>
      <c r="H58" s="99">
        <v>0</v>
      </c>
      <c r="I58" s="99">
        <v>71</v>
      </c>
      <c r="J58" s="99">
        <v>143</v>
      </c>
      <c r="K58" s="99">
        <v>0</v>
      </c>
      <c r="L58" s="99">
        <v>0</v>
      </c>
      <c r="M58" s="99">
        <f t="shared" si="0"/>
        <v>39441</v>
      </c>
      <c r="N58" s="99">
        <f t="shared" si="1"/>
        <v>18321</v>
      </c>
      <c r="P58" s="109" t="s">
        <v>229</v>
      </c>
      <c r="Q58" s="62">
        <v>37567</v>
      </c>
      <c r="R58" s="111">
        <v>21152</v>
      </c>
      <c r="T58" s="111">
        <f t="shared" si="2"/>
        <v>-2831</v>
      </c>
    </row>
    <row r="59" spans="1:20" x14ac:dyDescent="0.2">
      <c r="A59" s="57">
        <v>50</v>
      </c>
      <c r="B59" s="98" t="s">
        <v>52</v>
      </c>
      <c r="C59" s="99">
        <v>57125</v>
      </c>
      <c r="D59" s="99">
        <v>35731</v>
      </c>
      <c r="E59" s="99">
        <v>1040</v>
      </c>
      <c r="F59" s="99">
        <v>2899.64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f t="shared" si="0"/>
        <v>58165</v>
      </c>
      <c r="N59" s="99">
        <f t="shared" si="1"/>
        <v>38630.639999999999</v>
      </c>
      <c r="P59" s="109" t="s">
        <v>52</v>
      </c>
      <c r="Q59" s="62">
        <v>56495</v>
      </c>
      <c r="R59" s="111">
        <v>38741.57</v>
      </c>
      <c r="T59" s="111">
        <f t="shared" si="2"/>
        <v>-110.93000000000029</v>
      </c>
    </row>
    <row r="60" spans="1:20" s="108" customFormat="1" x14ac:dyDescent="0.2">
      <c r="A60" s="229"/>
      <c r="B60" s="60" t="s">
        <v>295</v>
      </c>
      <c r="C60" s="106">
        <f>SUM(C57:C59)</f>
        <v>139119</v>
      </c>
      <c r="D60" s="106">
        <f t="shared" ref="D60:L60" si="5">SUM(D57:D59)</f>
        <v>75540.88</v>
      </c>
      <c r="E60" s="106">
        <f t="shared" si="5"/>
        <v>9775</v>
      </c>
      <c r="F60" s="106">
        <f t="shared" si="5"/>
        <v>7332.92</v>
      </c>
      <c r="G60" s="106">
        <f t="shared" si="5"/>
        <v>0</v>
      </c>
      <c r="H60" s="106">
        <f t="shared" si="5"/>
        <v>0</v>
      </c>
      <c r="I60" s="106">
        <f t="shared" si="5"/>
        <v>3003</v>
      </c>
      <c r="J60" s="106">
        <f t="shared" si="5"/>
        <v>1630.86</v>
      </c>
      <c r="K60" s="106">
        <f t="shared" si="5"/>
        <v>0</v>
      </c>
      <c r="L60" s="106">
        <f t="shared" si="5"/>
        <v>0</v>
      </c>
      <c r="M60" s="106">
        <f t="shared" si="0"/>
        <v>151897</v>
      </c>
      <c r="N60" s="106">
        <f t="shared" si="1"/>
        <v>84504.66</v>
      </c>
      <c r="P60" s="109" t="s">
        <v>230</v>
      </c>
      <c r="Q60" s="108">
        <v>207203</v>
      </c>
      <c r="R60" s="112">
        <v>84818.470000000016</v>
      </c>
      <c r="T60" s="111">
        <f t="shared" si="2"/>
        <v>-313.81000000001222</v>
      </c>
    </row>
    <row r="61" spans="1:20" x14ac:dyDescent="0.2">
      <c r="A61" s="57">
        <v>51</v>
      </c>
      <c r="B61" s="58" t="s">
        <v>290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f t="shared" si="0"/>
        <v>0</v>
      </c>
      <c r="N61" s="99">
        <f t="shared" si="1"/>
        <v>0</v>
      </c>
      <c r="P61" s="109" t="s">
        <v>262</v>
      </c>
      <c r="Q61" s="62">
        <v>0</v>
      </c>
      <c r="R61" s="111">
        <v>11826.78</v>
      </c>
      <c r="T61" s="111">
        <f t="shared" si="2"/>
        <v>-11826.78</v>
      </c>
    </row>
    <row r="62" spans="1:20" s="108" customFormat="1" x14ac:dyDescent="0.2">
      <c r="A62" s="229"/>
      <c r="B62" s="60" t="s">
        <v>291</v>
      </c>
      <c r="C62" s="106">
        <f>C61</f>
        <v>0</v>
      </c>
      <c r="D62" s="106">
        <f t="shared" ref="D62:L62" si="6">D61</f>
        <v>0</v>
      </c>
      <c r="E62" s="106">
        <f t="shared" si="6"/>
        <v>0</v>
      </c>
      <c r="F62" s="106">
        <f t="shared" si="6"/>
        <v>0</v>
      </c>
      <c r="G62" s="106">
        <f t="shared" si="6"/>
        <v>0</v>
      </c>
      <c r="H62" s="106">
        <f t="shared" si="6"/>
        <v>0</v>
      </c>
      <c r="I62" s="106">
        <f t="shared" si="6"/>
        <v>0</v>
      </c>
      <c r="J62" s="106">
        <f t="shared" si="6"/>
        <v>0</v>
      </c>
      <c r="K62" s="106">
        <f t="shared" si="6"/>
        <v>0</v>
      </c>
      <c r="L62" s="106">
        <f t="shared" si="6"/>
        <v>0</v>
      </c>
      <c r="M62" s="106">
        <f t="shared" si="0"/>
        <v>0</v>
      </c>
      <c r="N62" s="106">
        <f t="shared" si="1"/>
        <v>0</v>
      </c>
      <c r="P62" s="109"/>
      <c r="R62" s="112">
        <v>11826.78</v>
      </c>
      <c r="T62" s="111">
        <f t="shared" si="2"/>
        <v>-11826.78</v>
      </c>
    </row>
    <row r="63" spans="1:20" s="108" customFormat="1" x14ac:dyDescent="0.2">
      <c r="A63" s="229"/>
      <c r="B63" s="60" t="s">
        <v>292</v>
      </c>
      <c r="C63" s="106">
        <f>C62+C60+C56+C33</f>
        <v>823861</v>
      </c>
      <c r="D63" s="106">
        <f t="shared" ref="D63:L63" si="7">D62+D60+D56+D33</f>
        <v>1596148.7799999998</v>
      </c>
      <c r="E63" s="106">
        <f t="shared" si="7"/>
        <v>96577</v>
      </c>
      <c r="F63" s="106">
        <f t="shared" si="7"/>
        <v>1563125.79</v>
      </c>
      <c r="G63" s="106">
        <f t="shared" si="7"/>
        <v>4905</v>
      </c>
      <c r="H63" s="106">
        <f t="shared" si="7"/>
        <v>406319.77999999997</v>
      </c>
      <c r="I63" s="106">
        <f t="shared" si="7"/>
        <v>6070</v>
      </c>
      <c r="J63" s="106">
        <f t="shared" si="7"/>
        <v>21260.02</v>
      </c>
      <c r="K63" s="106">
        <f t="shared" si="7"/>
        <v>106978</v>
      </c>
      <c r="L63" s="106">
        <f t="shared" si="7"/>
        <v>181554.61000000002</v>
      </c>
      <c r="M63" s="106">
        <f t="shared" si="0"/>
        <v>1038391</v>
      </c>
      <c r="N63" s="106">
        <f t="shared" si="1"/>
        <v>3768408.9799999995</v>
      </c>
      <c r="P63" s="109"/>
      <c r="R63" s="112">
        <v>3774740.8899999997</v>
      </c>
      <c r="T63" s="111">
        <f t="shared" si="2"/>
        <v>-6331.910000000149</v>
      </c>
    </row>
    <row r="64" spans="1:20" hidden="1" x14ac:dyDescent="0.2">
      <c r="A64" s="61"/>
    </row>
    <row r="65" spans="3:18" hidden="1" x14ac:dyDescent="0.2">
      <c r="C65" s="111">
        <v>774329</v>
      </c>
      <c r="D65" s="111">
        <v>1559128.9</v>
      </c>
      <c r="E65" s="111">
        <v>88822</v>
      </c>
      <c r="F65" s="111">
        <v>1625174.19</v>
      </c>
      <c r="G65" s="111">
        <v>4568</v>
      </c>
      <c r="H65" s="111">
        <v>373382.93000000005</v>
      </c>
      <c r="I65" s="111">
        <v>5660</v>
      </c>
      <c r="J65" s="111">
        <v>17666.859999999997</v>
      </c>
      <c r="K65" s="111">
        <v>10337</v>
      </c>
      <c r="L65" s="111">
        <v>199388.01</v>
      </c>
      <c r="M65" s="111">
        <v>883716</v>
      </c>
      <c r="N65" s="111">
        <v>3774740.8899999997</v>
      </c>
    </row>
    <row r="66" spans="3:18" hidden="1" x14ac:dyDescent="0.2">
      <c r="P66" s="62"/>
      <c r="R66" s="62"/>
    </row>
    <row r="67" spans="3:18" hidden="1" x14ac:dyDescent="0.2">
      <c r="D67" s="111">
        <f t="shared" ref="D67:N67" si="8">D63-D65</f>
        <v>37019.879999999888</v>
      </c>
      <c r="F67" s="111">
        <f t="shared" si="8"/>
        <v>-62048.399999999907</v>
      </c>
      <c r="H67" s="111">
        <f t="shared" si="8"/>
        <v>32936.849999999919</v>
      </c>
      <c r="J67" s="111">
        <f t="shared" si="8"/>
        <v>3593.1600000000035</v>
      </c>
      <c r="L67" s="111">
        <f t="shared" si="8"/>
        <v>-17833.399999999994</v>
      </c>
      <c r="N67" s="111">
        <f t="shared" si="8"/>
        <v>-6331.910000000149</v>
      </c>
    </row>
    <row r="68" spans="3:18" hidden="1" x14ac:dyDescent="0.2"/>
    <row r="69" spans="3:18" hidden="1" x14ac:dyDescent="0.2"/>
    <row r="70" spans="3:18" hidden="1" x14ac:dyDescent="0.2"/>
    <row r="71" spans="3:18" hidden="1" x14ac:dyDescent="0.2">
      <c r="M71" s="111">
        <f>D63+F63</f>
        <v>3159274.57</v>
      </c>
    </row>
    <row r="72" spans="3:18" hidden="1" x14ac:dyDescent="0.2"/>
    <row r="73" spans="3:18" hidden="1" x14ac:dyDescent="0.2">
      <c r="M73" s="111">
        <f>D63+F63</f>
        <v>3159274.57</v>
      </c>
    </row>
    <row r="74" spans="3:18" hidden="1" x14ac:dyDescent="0.2">
      <c r="M74" s="109">
        <f>M73*100/'CD Ratio_3(i)'!F63</f>
        <v>14.235992311350518</v>
      </c>
    </row>
    <row r="75" spans="3:18" hidden="1" x14ac:dyDescent="0.2"/>
    <row r="76" spans="3:18" hidden="1" x14ac:dyDescent="0.2"/>
  </sheetData>
  <mergeCells count="10">
    <mergeCell ref="A1:N1"/>
    <mergeCell ref="A3:A5"/>
    <mergeCell ref="B3:B5"/>
    <mergeCell ref="C3:N3"/>
    <mergeCell ref="C4:D4"/>
    <mergeCell ref="E4:F4"/>
    <mergeCell ref="G4:H4"/>
    <mergeCell ref="I4:J4"/>
    <mergeCell ref="K4:L4"/>
    <mergeCell ref="M4:N4"/>
  </mergeCells>
  <conditionalFormatting sqref="B6">
    <cfRule type="duplicateValues" dxfId="187" priority="5"/>
  </conditionalFormatting>
  <conditionalFormatting sqref="B22">
    <cfRule type="duplicateValues" dxfId="186" priority="6"/>
  </conditionalFormatting>
  <conditionalFormatting sqref="B33:B34 B26:B30">
    <cfRule type="duplicateValues" dxfId="185" priority="7"/>
  </conditionalFormatting>
  <conditionalFormatting sqref="B52">
    <cfRule type="duplicateValues" dxfId="184" priority="8"/>
  </conditionalFormatting>
  <conditionalFormatting sqref="B56">
    <cfRule type="duplicateValues" dxfId="183" priority="9"/>
  </conditionalFormatting>
  <conditionalFormatting sqref="B58">
    <cfRule type="duplicateValues" dxfId="182" priority="10"/>
  </conditionalFormatting>
  <conditionalFormatting sqref="P38:P43 P1:P35 P45:P52 P55:P1048576">
    <cfRule type="cellIs" dxfId="181" priority="2" operator="greaterThan">
      <formula>100</formula>
    </cfRule>
  </conditionalFormatting>
  <conditionalFormatting sqref="T1:T1048576">
    <cfRule type="cellIs" dxfId="180" priority="1" operator="lessThan">
      <formula>0</formula>
    </cfRule>
  </conditionalFormatting>
  <pageMargins left="0.45" right="0.45" top="0.5" bottom="0.5" header="0.3" footer="0.3"/>
  <pageSetup paperSize="9" scale="81" orientation="portrait" r:id="rId1"/>
  <headerFooter>
    <oddFooter>&amp;CData Table, State Level Banker's Committee, M.P. as on 31.12.2016 Page No. 79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74"/>
  <sheetViews>
    <sheetView view="pageBreakPreview" topLeftCell="A41" zoomScale="60" zoomScaleNormal="100" workbookViewId="0">
      <selection activeCell="L81" sqref="L81"/>
    </sheetView>
  </sheetViews>
  <sheetFormatPr defaultColWidth="4.42578125" defaultRowHeight="13.5" x14ac:dyDescent="0.2"/>
  <cols>
    <col min="1" max="1" width="4.42578125" style="62"/>
    <col min="2" max="2" width="24.42578125" style="62" bestFit="1" customWidth="1"/>
    <col min="3" max="3" width="6.5703125" style="111" customWidth="1"/>
    <col min="4" max="4" width="7.28515625" style="111" customWidth="1"/>
    <col min="5" max="5" width="7.85546875" style="111" customWidth="1"/>
    <col min="6" max="6" width="8.42578125" style="111" customWidth="1"/>
    <col min="7" max="7" width="8.28515625" style="111" customWidth="1"/>
    <col min="8" max="9" width="9.42578125" style="111" customWidth="1"/>
    <col min="10" max="10" width="6.85546875" style="111" bestFit="1" customWidth="1"/>
    <col min="11" max="11" width="8.28515625" style="111" bestFit="1" customWidth="1"/>
    <col min="12" max="12" width="7.42578125" style="111" customWidth="1"/>
    <col min="13" max="13" width="7.5703125" style="111" bestFit="1" customWidth="1"/>
    <col min="14" max="14" width="9.28515625" style="111" customWidth="1"/>
    <col min="15" max="16" width="9.5703125" style="111" customWidth="1"/>
    <col min="17" max="17" width="9.28515625" style="111" customWidth="1"/>
    <col min="18" max="18" width="10.42578125" style="109" customWidth="1"/>
    <col min="19" max="19" width="8" style="62" bestFit="1" customWidth="1"/>
    <col min="20" max="20" width="6" style="62" bestFit="1" customWidth="1"/>
    <col min="21" max="21" width="8" style="62" bestFit="1" customWidth="1"/>
    <col min="22" max="16384" width="4.42578125" style="62"/>
  </cols>
  <sheetData>
    <row r="1" spans="1:21" ht="18.75" x14ac:dyDescent="0.2">
      <c r="A1" s="477" t="s">
        <v>358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</row>
    <row r="2" spans="1:21" x14ac:dyDescent="0.2">
      <c r="B2" s="108" t="s">
        <v>134</v>
      </c>
      <c r="L2" s="111" t="s">
        <v>142</v>
      </c>
      <c r="O2" s="112" t="s">
        <v>141</v>
      </c>
    </row>
    <row r="3" spans="1:21" ht="35.1" customHeight="1" x14ac:dyDescent="0.2">
      <c r="A3" s="478" t="s">
        <v>120</v>
      </c>
      <c r="B3" s="478" t="s">
        <v>100</v>
      </c>
      <c r="C3" s="480" t="s">
        <v>355</v>
      </c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2"/>
      <c r="R3" s="476" t="s">
        <v>152</v>
      </c>
    </row>
    <row r="4" spans="1:21" ht="24.95" customHeight="1" x14ac:dyDescent="0.2">
      <c r="A4" s="478"/>
      <c r="B4" s="478"/>
      <c r="C4" s="480" t="s">
        <v>135</v>
      </c>
      <c r="D4" s="482"/>
      <c r="E4" s="480" t="s">
        <v>136</v>
      </c>
      <c r="F4" s="482"/>
      <c r="G4" s="480" t="s">
        <v>137</v>
      </c>
      <c r="H4" s="482"/>
      <c r="I4" s="360"/>
      <c r="J4" s="480" t="s">
        <v>138</v>
      </c>
      <c r="K4" s="482"/>
      <c r="L4" s="480" t="s">
        <v>139</v>
      </c>
      <c r="M4" s="482"/>
      <c r="N4" s="480" t="s">
        <v>131</v>
      </c>
      <c r="O4" s="482"/>
      <c r="P4" s="480" t="s">
        <v>140</v>
      </c>
      <c r="Q4" s="482"/>
      <c r="R4" s="476"/>
      <c r="S4" s="124"/>
    </row>
    <row r="5" spans="1:21" ht="15" customHeight="1" x14ac:dyDescent="0.2">
      <c r="A5" s="478"/>
      <c r="B5" s="478"/>
      <c r="C5" s="357" t="s">
        <v>264</v>
      </c>
      <c r="D5" s="357" t="s">
        <v>263</v>
      </c>
      <c r="E5" s="357" t="s">
        <v>264</v>
      </c>
      <c r="F5" s="357" t="s">
        <v>263</v>
      </c>
      <c r="G5" s="357" t="s">
        <v>264</v>
      </c>
      <c r="H5" s="357" t="s">
        <v>263</v>
      </c>
      <c r="I5" s="361"/>
      <c r="J5" s="357" t="s">
        <v>264</v>
      </c>
      <c r="K5" s="357" t="s">
        <v>263</v>
      </c>
      <c r="L5" s="357" t="s">
        <v>264</v>
      </c>
      <c r="M5" s="357" t="s">
        <v>263</v>
      </c>
      <c r="N5" s="357" t="s">
        <v>264</v>
      </c>
      <c r="O5" s="357" t="s">
        <v>263</v>
      </c>
      <c r="P5" s="357" t="s">
        <v>264</v>
      </c>
      <c r="Q5" s="357" t="s">
        <v>263</v>
      </c>
      <c r="R5" s="476"/>
    </row>
    <row r="6" spans="1:21" ht="15" customHeight="1" x14ac:dyDescent="0.2">
      <c r="A6" s="57">
        <v>1</v>
      </c>
      <c r="B6" s="98" t="s">
        <v>55</v>
      </c>
      <c r="C6" s="99">
        <v>0</v>
      </c>
      <c r="D6" s="99">
        <v>0</v>
      </c>
      <c r="E6" s="99">
        <v>3126</v>
      </c>
      <c r="F6" s="99">
        <v>8124</v>
      </c>
      <c r="G6" s="99">
        <v>13792</v>
      </c>
      <c r="H6" s="99">
        <v>41529</v>
      </c>
      <c r="I6" s="99">
        <v>40459</v>
      </c>
      <c r="J6" s="99">
        <v>87</v>
      </c>
      <c r="K6" s="99">
        <v>19</v>
      </c>
      <c r="L6" s="99">
        <v>0</v>
      </c>
      <c r="M6" s="99">
        <v>0</v>
      </c>
      <c r="N6" s="99">
        <f>34+724</f>
        <v>758</v>
      </c>
      <c r="O6" s="99">
        <f>212+1012</f>
        <v>1224</v>
      </c>
      <c r="P6" s="99">
        <f>C6+E6+G6+J6+L6+N6+MSMEoutstanding_5!M6+OutstandingAgri_4!K6</f>
        <v>146039</v>
      </c>
      <c r="Q6" s="99">
        <f>O6+M6+K6+H6+F6+D6+MSMEoutstanding_5!N6+OutstandingAgri_4!L6</f>
        <v>429025.61</v>
      </c>
      <c r="R6" s="100">
        <f>Q6*100/'CD Ratio_3(i)'!F6</f>
        <v>59.491786047582266</v>
      </c>
      <c r="S6" s="111"/>
      <c r="U6" s="111"/>
    </row>
    <row r="7" spans="1:21" ht="15" customHeight="1" x14ac:dyDescent="0.2">
      <c r="A7" s="57">
        <v>2</v>
      </c>
      <c r="B7" s="98" t="s">
        <v>56</v>
      </c>
      <c r="C7" s="99">
        <v>1</v>
      </c>
      <c r="D7" s="99">
        <v>1500</v>
      </c>
      <c r="E7" s="99">
        <v>157</v>
      </c>
      <c r="F7" s="99">
        <v>558.15</v>
      </c>
      <c r="G7" s="99">
        <v>1084</v>
      </c>
      <c r="H7" s="99">
        <v>9298.3799999999992</v>
      </c>
      <c r="I7" s="99">
        <v>8479.0400000000009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f>C7+E7+G7+J7+L7+N7+MSMEoutstanding_5!M7+OutstandingAgri_4!K7</f>
        <v>5716</v>
      </c>
      <c r="Q7" s="99">
        <f>O7+M7+K7+H7+F7+D7+MSMEoutstanding_5!N7+OutstandingAgri_4!L7</f>
        <v>37418.31</v>
      </c>
      <c r="R7" s="100">
        <f>Q7*100/'CD Ratio_3(i)'!F7</f>
        <v>58.647384775880695</v>
      </c>
      <c r="S7" s="111"/>
      <c r="U7" s="111"/>
    </row>
    <row r="8" spans="1:21" ht="15" customHeight="1" x14ac:dyDescent="0.2">
      <c r="A8" s="57">
        <v>3</v>
      </c>
      <c r="B8" s="98" t="s">
        <v>57</v>
      </c>
      <c r="C8" s="99">
        <v>1</v>
      </c>
      <c r="D8" s="99">
        <v>1</v>
      </c>
      <c r="E8" s="99">
        <v>2462</v>
      </c>
      <c r="F8" s="99">
        <v>6475</v>
      </c>
      <c r="G8" s="99">
        <v>13262</v>
      </c>
      <c r="H8" s="99">
        <v>99828</v>
      </c>
      <c r="I8" s="99">
        <v>99246.05</v>
      </c>
      <c r="J8" s="99">
        <v>326</v>
      </c>
      <c r="K8" s="99">
        <v>537</v>
      </c>
      <c r="L8" s="99">
        <v>1</v>
      </c>
      <c r="M8" s="99">
        <v>1</v>
      </c>
      <c r="N8" s="99">
        <v>9411</v>
      </c>
      <c r="O8" s="99">
        <v>43062</v>
      </c>
      <c r="P8" s="99">
        <f>C8+E8+G8+J8+L8+N8+MSMEoutstanding_5!M8+OutstandingAgri_4!K8</f>
        <v>93794</v>
      </c>
      <c r="Q8" s="99">
        <f>O8+M8+K8+H8+F8+D8+MSMEoutstanding_5!N8+OutstandingAgri_4!L8</f>
        <v>576050</v>
      </c>
      <c r="R8" s="100">
        <f>Q8*100/'CD Ratio_3(i)'!F8</f>
        <v>83.385806825172807</v>
      </c>
      <c r="S8" s="111"/>
      <c r="U8" s="111"/>
    </row>
    <row r="9" spans="1:21" ht="15" customHeight="1" x14ac:dyDescent="0.2">
      <c r="A9" s="57">
        <v>4</v>
      </c>
      <c r="B9" s="98" t="s">
        <v>58</v>
      </c>
      <c r="C9" s="99">
        <v>0</v>
      </c>
      <c r="D9" s="99">
        <v>0</v>
      </c>
      <c r="E9" s="99">
        <v>10173</v>
      </c>
      <c r="F9" s="99">
        <v>22506</v>
      </c>
      <c r="G9" s="99">
        <v>69891</v>
      </c>
      <c r="H9" s="99">
        <v>98840</v>
      </c>
      <c r="I9" s="99">
        <v>96368</v>
      </c>
      <c r="J9" s="99">
        <v>0</v>
      </c>
      <c r="K9" s="99">
        <v>0</v>
      </c>
      <c r="L9" s="99">
        <v>1</v>
      </c>
      <c r="M9" s="99">
        <v>5</v>
      </c>
      <c r="N9" s="99">
        <v>195</v>
      </c>
      <c r="O9" s="99">
        <v>89</v>
      </c>
      <c r="P9" s="99">
        <f>C9+E9+G9+J9+L9+N9+MSMEoutstanding_5!M9+OutstandingAgri_4!K9</f>
        <v>577833</v>
      </c>
      <c r="Q9" s="99">
        <f>O9+M9+K9+H9+F9+D9+MSMEoutstanding_5!N9+OutstandingAgri_4!L9</f>
        <v>1329451</v>
      </c>
      <c r="R9" s="100">
        <f>Q9*100/'CD Ratio_3(i)'!F9</f>
        <v>76.254342700048127</v>
      </c>
      <c r="S9" s="111"/>
      <c r="U9" s="111"/>
    </row>
    <row r="10" spans="1:21" ht="15" customHeight="1" x14ac:dyDescent="0.2">
      <c r="A10" s="57">
        <v>5</v>
      </c>
      <c r="B10" s="98" t="s">
        <v>59</v>
      </c>
      <c r="C10" s="99">
        <v>0</v>
      </c>
      <c r="D10" s="99">
        <v>0</v>
      </c>
      <c r="E10" s="99">
        <v>1231</v>
      </c>
      <c r="F10" s="99">
        <v>2755.08</v>
      </c>
      <c r="G10" s="99">
        <v>18702</v>
      </c>
      <c r="H10" s="99">
        <v>36533.22</v>
      </c>
      <c r="I10" s="99">
        <v>31798</v>
      </c>
      <c r="J10" s="99">
        <v>9</v>
      </c>
      <c r="K10" s="99">
        <v>236.7</v>
      </c>
      <c r="L10" s="99">
        <v>2</v>
      </c>
      <c r="M10" s="99">
        <v>375.23</v>
      </c>
      <c r="N10" s="99">
        <f>33196+7677</f>
        <v>40873</v>
      </c>
      <c r="O10" s="99">
        <f>23246.65+7479</f>
        <v>30725.65</v>
      </c>
      <c r="P10" s="99">
        <f>C10+E10+G10+J10+L10+N10+MSMEoutstanding_5!M10+OutstandingAgri_4!K10</f>
        <v>125757</v>
      </c>
      <c r="Q10" s="99">
        <f>O10+M10+K10+H10+F10+D10+MSMEoutstanding_5!N10+OutstandingAgri_4!L10</f>
        <v>231352.4</v>
      </c>
      <c r="R10" s="100">
        <f>Q10*100/'CD Ratio_3(i)'!F10</f>
        <v>77.75610346311035</v>
      </c>
      <c r="S10" s="111"/>
      <c r="U10" s="111"/>
    </row>
    <row r="11" spans="1:21" ht="15" customHeight="1" x14ac:dyDescent="0.2">
      <c r="A11" s="57">
        <v>6</v>
      </c>
      <c r="B11" s="101" t="s">
        <v>242</v>
      </c>
      <c r="C11" s="99">
        <v>0</v>
      </c>
      <c r="D11" s="99">
        <v>0</v>
      </c>
      <c r="E11" s="99">
        <v>0</v>
      </c>
      <c r="F11" s="99">
        <v>49.9</v>
      </c>
      <c r="G11" s="99">
        <v>22</v>
      </c>
      <c r="H11" s="99">
        <v>205</v>
      </c>
      <c r="I11" s="99">
        <v>158.34</v>
      </c>
      <c r="J11" s="99">
        <v>0</v>
      </c>
      <c r="K11" s="99">
        <v>0</v>
      </c>
      <c r="L11" s="99">
        <v>0</v>
      </c>
      <c r="M11" s="99">
        <v>0</v>
      </c>
      <c r="N11" s="99">
        <v>163</v>
      </c>
      <c r="O11" s="99">
        <v>62.86</v>
      </c>
      <c r="P11" s="99">
        <f>C11+E11+G11+J11+L11+N11+MSMEoutstanding_5!M11+OutstandingAgri_4!K11</f>
        <v>319</v>
      </c>
      <c r="Q11" s="99">
        <f>O11+M11+K11+H11+F11+D11+MSMEoutstanding_5!N11+OutstandingAgri_4!L11</f>
        <v>561.4</v>
      </c>
      <c r="R11" s="100">
        <f>Q11*100/'CD Ratio_3(i)'!F11</f>
        <v>85.840978593272169</v>
      </c>
      <c r="S11" s="111"/>
      <c r="U11" s="111"/>
    </row>
    <row r="12" spans="1:21" ht="15" customHeight="1" x14ac:dyDescent="0.2">
      <c r="A12" s="57">
        <v>7</v>
      </c>
      <c r="B12" s="98" t="s">
        <v>60</v>
      </c>
      <c r="C12" s="99">
        <v>0</v>
      </c>
      <c r="D12" s="99">
        <v>0</v>
      </c>
      <c r="E12" s="99">
        <v>2365</v>
      </c>
      <c r="F12" s="99">
        <v>6820</v>
      </c>
      <c r="G12" s="99">
        <v>7701</v>
      </c>
      <c r="H12" s="99">
        <v>62213</v>
      </c>
      <c r="I12" s="99">
        <v>61758</v>
      </c>
      <c r="J12" s="99">
        <v>0</v>
      </c>
      <c r="K12" s="99">
        <v>0</v>
      </c>
      <c r="L12" s="99">
        <v>0</v>
      </c>
      <c r="M12" s="99">
        <v>0</v>
      </c>
      <c r="N12" s="99">
        <f>227+2578</f>
        <v>2805</v>
      </c>
      <c r="O12" s="99">
        <v>704</v>
      </c>
      <c r="P12" s="99">
        <f>C12+E12+G12+J12+L12+N12+MSMEoutstanding_5!M12+OutstandingAgri_4!K12</f>
        <v>87273</v>
      </c>
      <c r="Q12" s="99">
        <f>O12+M12+K12+H12+F12+D12+MSMEoutstanding_5!N12+OutstandingAgri_4!L12</f>
        <v>342587</v>
      </c>
      <c r="R12" s="100">
        <f>Q12*100/'CD Ratio_3(i)'!F12</f>
        <v>81.732966880907739</v>
      </c>
      <c r="S12" s="111"/>
      <c r="U12" s="111"/>
    </row>
    <row r="13" spans="1:21" ht="15" customHeight="1" x14ac:dyDescent="0.2">
      <c r="A13" s="57">
        <v>8</v>
      </c>
      <c r="B13" s="98" t="s">
        <v>61</v>
      </c>
      <c r="C13" s="99">
        <v>0</v>
      </c>
      <c r="D13" s="99">
        <v>0</v>
      </c>
      <c r="E13" s="99">
        <v>10917</v>
      </c>
      <c r="F13" s="99">
        <v>25108</v>
      </c>
      <c r="G13" s="99">
        <v>97531</v>
      </c>
      <c r="H13" s="99">
        <v>138802</v>
      </c>
      <c r="I13" s="99">
        <v>137301</v>
      </c>
      <c r="J13" s="99">
        <v>3</v>
      </c>
      <c r="K13" s="99">
        <v>38</v>
      </c>
      <c r="L13" s="99">
        <v>1</v>
      </c>
      <c r="M13" s="99">
        <v>16</v>
      </c>
      <c r="N13" s="99">
        <v>101</v>
      </c>
      <c r="O13" s="99">
        <v>1211</v>
      </c>
      <c r="P13" s="99">
        <f>C13+E13+G13+J13+L13+N13+MSMEoutstanding_5!M13+OutstandingAgri_4!K13</f>
        <v>485053</v>
      </c>
      <c r="Q13" s="99">
        <f>O13+M13+K13+H13+F13+D13+MSMEoutstanding_5!N13+OutstandingAgri_4!L13</f>
        <v>918186</v>
      </c>
      <c r="R13" s="100">
        <f>Q13*100/'CD Ratio_3(i)'!F13</f>
        <v>77.334862872130216</v>
      </c>
      <c r="S13" s="111"/>
      <c r="U13" s="111"/>
    </row>
    <row r="14" spans="1:21" ht="15" customHeight="1" x14ac:dyDescent="0.2">
      <c r="A14" s="57">
        <v>9</v>
      </c>
      <c r="B14" s="98" t="s">
        <v>48</v>
      </c>
      <c r="C14" s="99">
        <v>0</v>
      </c>
      <c r="D14" s="99">
        <v>0</v>
      </c>
      <c r="E14" s="99">
        <v>489</v>
      </c>
      <c r="F14" s="99">
        <v>1428</v>
      </c>
      <c r="G14" s="99">
        <v>1358</v>
      </c>
      <c r="H14" s="99">
        <v>13078.7</v>
      </c>
      <c r="I14" s="99">
        <v>13187</v>
      </c>
      <c r="J14" s="99">
        <v>0</v>
      </c>
      <c r="K14" s="99">
        <v>0</v>
      </c>
      <c r="L14" s="99">
        <v>0</v>
      </c>
      <c r="M14" s="99">
        <v>0</v>
      </c>
      <c r="N14" s="99">
        <v>19892</v>
      </c>
      <c r="O14" s="99">
        <v>20506.7</v>
      </c>
      <c r="P14" s="99">
        <f>C14+E14+G14+J14+L14+N14+MSMEoutstanding_5!M14+OutstandingAgri_4!K14</f>
        <v>41284</v>
      </c>
      <c r="Q14" s="99">
        <f>O14+M14+K14+H14+F14+D14+MSMEoutstanding_5!N14+OutstandingAgri_4!L14</f>
        <v>115907.1</v>
      </c>
      <c r="R14" s="100">
        <f>Q14*100/'CD Ratio_3(i)'!F14</f>
        <v>69.858483458596766</v>
      </c>
      <c r="S14" s="111"/>
      <c r="U14" s="111"/>
    </row>
    <row r="15" spans="1:21" ht="15" customHeight="1" x14ac:dyDescent="0.2">
      <c r="A15" s="57">
        <v>10</v>
      </c>
      <c r="B15" s="98" t="s">
        <v>49</v>
      </c>
      <c r="C15" s="99">
        <v>7</v>
      </c>
      <c r="D15" s="99">
        <v>622</v>
      </c>
      <c r="E15" s="99">
        <v>776</v>
      </c>
      <c r="F15" s="99">
        <v>1867</v>
      </c>
      <c r="G15" s="99">
        <v>2463</v>
      </c>
      <c r="H15" s="99">
        <v>14166</v>
      </c>
      <c r="I15" s="99">
        <v>14033</v>
      </c>
      <c r="J15" s="99">
        <v>21</v>
      </c>
      <c r="K15" s="99">
        <v>32</v>
      </c>
      <c r="L15" s="99">
        <v>4</v>
      </c>
      <c r="M15" s="99">
        <v>277</v>
      </c>
      <c r="N15" s="99">
        <v>662</v>
      </c>
      <c r="O15" s="99">
        <v>34</v>
      </c>
      <c r="P15" s="99">
        <f>C15+E15+G15+J15+L15+N15+MSMEoutstanding_5!M15+OutstandingAgri_4!K15</f>
        <v>24707</v>
      </c>
      <c r="Q15" s="99">
        <f>O15+M15+K15+H15+F15+D15+MSMEoutstanding_5!N15+OutstandingAgri_4!L15</f>
        <v>66817</v>
      </c>
      <c r="R15" s="100">
        <f>Q15*100/'CD Ratio_3(i)'!F15</f>
        <v>44.01733894609248</v>
      </c>
      <c r="S15" s="111"/>
      <c r="U15" s="111"/>
    </row>
    <row r="16" spans="1:21" ht="15" customHeight="1" x14ac:dyDescent="0.2">
      <c r="A16" s="57">
        <v>11</v>
      </c>
      <c r="B16" s="98" t="s">
        <v>81</v>
      </c>
      <c r="C16" s="99">
        <v>0</v>
      </c>
      <c r="D16" s="99">
        <v>0</v>
      </c>
      <c r="E16" s="99">
        <v>554</v>
      </c>
      <c r="F16" s="99">
        <v>1713</v>
      </c>
      <c r="G16" s="99">
        <v>5062</v>
      </c>
      <c r="H16" s="99">
        <v>37591</v>
      </c>
      <c r="I16" s="99">
        <v>37362</v>
      </c>
      <c r="J16" s="99">
        <v>5</v>
      </c>
      <c r="K16" s="99">
        <v>41</v>
      </c>
      <c r="L16" s="99">
        <v>0</v>
      </c>
      <c r="M16" s="99">
        <v>0</v>
      </c>
      <c r="N16" s="99">
        <v>29</v>
      </c>
      <c r="O16" s="99">
        <v>2</v>
      </c>
      <c r="P16" s="99">
        <f>C16+E16+G16+J16+L16+N16+MSMEoutstanding_5!M16+OutstandingAgri_4!K16</f>
        <v>56174</v>
      </c>
      <c r="Q16" s="99">
        <f>O16+M16+K16+H16+F16+D16+MSMEoutstanding_5!N16+OutstandingAgri_4!L16</f>
        <v>175742</v>
      </c>
      <c r="R16" s="100">
        <f>Q16*100/'CD Ratio_3(i)'!F16</f>
        <v>48.49901479735734</v>
      </c>
      <c r="S16" s="111"/>
      <c r="U16" s="111"/>
    </row>
    <row r="17" spans="1:21" ht="15" customHeight="1" x14ac:dyDescent="0.2">
      <c r="A17" s="57">
        <v>12</v>
      </c>
      <c r="B17" s="98" t="s">
        <v>62</v>
      </c>
      <c r="C17" s="99">
        <v>0</v>
      </c>
      <c r="D17" s="99">
        <v>0</v>
      </c>
      <c r="E17" s="99">
        <v>165</v>
      </c>
      <c r="F17" s="99">
        <v>423.86</v>
      </c>
      <c r="G17" s="99">
        <v>503</v>
      </c>
      <c r="H17" s="99">
        <v>3097.42</v>
      </c>
      <c r="I17" s="99">
        <v>2948.9</v>
      </c>
      <c r="J17" s="99">
        <v>0</v>
      </c>
      <c r="K17" s="99">
        <v>0</v>
      </c>
      <c r="L17" s="99">
        <v>0</v>
      </c>
      <c r="M17" s="99">
        <v>0</v>
      </c>
      <c r="N17" s="99">
        <v>13</v>
      </c>
      <c r="O17" s="99">
        <v>1.88</v>
      </c>
      <c r="P17" s="99">
        <f>C17+E17+G17+J17+L17+N17+MSMEoutstanding_5!M17+OutstandingAgri_4!K17</f>
        <v>7758</v>
      </c>
      <c r="Q17" s="99">
        <f>O17+M17+K17+H17+F17+D17+MSMEoutstanding_5!N17+OutstandingAgri_4!L17</f>
        <v>21085.119999999999</v>
      </c>
      <c r="R17" s="100">
        <f>Q17*100/'CD Ratio_3(i)'!F17</f>
        <v>60.081135428690772</v>
      </c>
      <c r="S17" s="111"/>
      <c r="U17" s="111"/>
    </row>
    <row r="18" spans="1:21" ht="15" customHeight="1" x14ac:dyDescent="0.2">
      <c r="A18" s="57">
        <v>13</v>
      </c>
      <c r="B18" s="98" t="s">
        <v>63</v>
      </c>
      <c r="C18" s="99">
        <v>0</v>
      </c>
      <c r="D18" s="99">
        <v>0</v>
      </c>
      <c r="E18" s="99">
        <v>319</v>
      </c>
      <c r="F18" s="99">
        <v>896</v>
      </c>
      <c r="G18" s="99">
        <v>3049</v>
      </c>
      <c r="H18" s="99">
        <v>8163</v>
      </c>
      <c r="I18" s="99">
        <v>8163</v>
      </c>
      <c r="J18" s="99">
        <v>0</v>
      </c>
      <c r="K18" s="99">
        <v>0</v>
      </c>
      <c r="L18" s="99">
        <v>0</v>
      </c>
      <c r="M18" s="99">
        <v>0</v>
      </c>
      <c r="N18" s="99">
        <v>677</v>
      </c>
      <c r="O18" s="99">
        <v>3597</v>
      </c>
      <c r="P18" s="99">
        <f>C18+E18+G18+J18+L18+N18+MSMEoutstanding_5!M18+OutstandingAgri_4!K18</f>
        <v>11083</v>
      </c>
      <c r="Q18" s="99">
        <f>O18+M18+K18+H18+F18+D18+MSMEoutstanding_5!N18+OutstandingAgri_4!L18</f>
        <v>66763</v>
      </c>
      <c r="R18" s="100">
        <f>Q18*100/'CD Ratio_3(i)'!F18</f>
        <v>69.121422951091233</v>
      </c>
      <c r="S18" s="111"/>
      <c r="U18" s="111"/>
    </row>
    <row r="19" spans="1:21" ht="15" customHeight="1" x14ac:dyDescent="0.2">
      <c r="A19" s="57">
        <v>14</v>
      </c>
      <c r="B19" s="102" t="s">
        <v>207</v>
      </c>
      <c r="C19" s="99">
        <v>1</v>
      </c>
      <c r="D19" s="99">
        <v>398</v>
      </c>
      <c r="E19" s="99">
        <v>1747</v>
      </c>
      <c r="F19" s="99">
        <v>3955</v>
      </c>
      <c r="G19" s="99">
        <v>6780</v>
      </c>
      <c r="H19" s="99">
        <v>22204</v>
      </c>
      <c r="I19" s="99">
        <v>22036.81</v>
      </c>
      <c r="J19" s="99">
        <v>8</v>
      </c>
      <c r="K19" s="99">
        <v>29.51</v>
      </c>
      <c r="L19" s="99">
        <v>6</v>
      </c>
      <c r="M19" s="99">
        <v>8.7200000000000006</v>
      </c>
      <c r="N19" s="99">
        <v>181</v>
      </c>
      <c r="O19" s="99">
        <v>6692</v>
      </c>
      <c r="P19" s="99">
        <f>C19+E19+G19+J19+L19+N19+MSMEoutstanding_5!M19+OutstandingAgri_4!K19</f>
        <v>28254</v>
      </c>
      <c r="Q19" s="99">
        <f>O19+M19+K19+H19+F19+D19+MSMEoutstanding_5!N19+OutstandingAgri_4!L19</f>
        <v>128507.95</v>
      </c>
      <c r="R19" s="100">
        <f>Q19*100/'CD Ratio_3(i)'!F19</f>
        <v>58.679656975837581</v>
      </c>
      <c r="S19" s="111"/>
      <c r="U19" s="111"/>
    </row>
    <row r="20" spans="1:21" ht="15" customHeight="1" x14ac:dyDescent="0.2">
      <c r="A20" s="57">
        <v>15</v>
      </c>
      <c r="B20" s="98" t="s">
        <v>208</v>
      </c>
      <c r="C20" s="99">
        <v>0</v>
      </c>
      <c r="D20" s="99">
        <v>0</v>
      </c>
      <c r="E20" s="99">
        <v>196</v>
      </c>
      <c r="F20" s="99">
        <v>529.17999999999995</v>
      </c>
      <c r="G20" s="99">
        <v>1271</v>
      </c>
      <c r="H20" s="99">
        <v>9132.69</v>
      </c>
      <c r="I20" s="99">
        <v>9573</v>
      </c>
      <c r="J20" s="99">
        <v>9</v>
      </c>
      <c r="K20" s="99">
        <v>320.47000000000003</v>
      </c>
      <c r="L20" s="99">
        <v>0</v>
      </c>
      <c r="M20" s="99">
        <v>0</v>
      </c>
      <c r="N20" s="99">
        <v>1031</v>
      </c>
      <c r="O20" s="99">
        <f>138710-138243</f>
        <v>467</v>
      </c>
      <c r="P20" s="99">
        <f>C20+E20+G20+J20+L20+N20+MSMEoutstanding_5!M20+OutstandingAgri_4!K20</f>
        <v>14149</v>
      </c>
      <c r="Q20" s="99">
        <f>O20+M20+K20+H20+F20+D20+MSMEoutstanding_5!N20+OutstandingAgri_4!L20</f>
        <v>52923.13</v>
      </c>
      <c r="R20" s="100">
        <f>Q20*100/'CD Ratio_3(i)'!F20</f>
        <v>84.846701402805607</v>
      </c>
      <c r="S20" s="111"/>
      <c r="T20" s="111"/>
      <c r="U20" s="111"/>
    </row>
    <row r="21" spans="1:21" ht="15" customHeight="1" x14ac:dyDescent="0.2">
      <c r="A21" s="57">
        <v>16</v>
      </c>
      <c r="B21" s="98" t="s">
        <v>64</v>
      </c>
      <c r="C21" s="99">
        <v>0</v>
      </c>
      <c r="D21" s="99">
        <v>0</v>
      </c>
      <c r="E21" s="99">
        <v>7481</v>
      </c>
      <c r="F21" s="99">
        <v>17204</v>
      </c>
      <c r="G21" s="99">
        <v>42602</v>
      </c>
      <c r="H21" s="99">
        <v>99418</v>
      </c>
      <c r="I21" s="99">
        <v>97847</v>
      </c>
      <c r="J21" s="99">
        <v>3</v>
      </c>
      <c r="K21" s="99">
        <v>80</v>
      </c>
      <c r="L21" s="99">
        <v>0</v>
      </c>
      <c r="M21" s="99">
        <v>0</v>
      </c>
      <c r="N21" s="99">
        <v>2169</v>
      </c>
      <c r="O21" s="99">
        <v>379</v>
      </c>
      <c r="P21" s="99">
        <f>C21+E21+G21+J21+L21+N21+MSMEoutstanding_5!M21+OutstandingAgri_4!K21</f>
        <v>287984</v>
      </c>
      <c r="Q21" s="99">
        <f>O21+M21+K21+H21+F21+D21+MSMEoutstanding_5!N21+OutstandingAgri_4!L21</f>
        <v>744260</v>
      </c>
      <c r="R21" s="100">
        <f>Q21*100/'CD Ratio_3(i)'!F21</f>
        <v>55.218802259618741</v>
      </c>
      <c r="S21" s="111"/>
      <c r="U21" s="111"/>
    </row>
    <row r="22" spans="1:21" ht="15" customHeight="1" x14ac:dyDescent="0.2">
      <c r="A22" s="57">
        <v>17</v>
      </c>
      <c r="B22" s="103" t="s">
        <v>69</v>
      </c>
      <c r="C22" s="99">
        <v>0</v>
      </c>
      <c r="D22" s="99">
        <v>0</v>
      </c>
      <c r="E22" s="99">
        <v>20</v>
      </c>
      <c r="F22" s="99">
        <v>48.75</v>
      </c>
      <c r="G22" s="99">
        <v>382</v>
      </c>
      <c r="H22" s="99">
        <v>2996.13</v>
      </c>
      <c r="I22" s="99">
        <v>4330.83</v>
      </c>
      <c r="J22" s="99">
        <v>3</v>
      </c>
      <c r="K22" s="99">
        <v>162.11000000000001</v>
      </c>
      <c r="L22" s="99">
        <v>0</v>
      </c>
      <c r="M22" s="99">
        <v>0</v>
      </c>
      <c r="N22" s="99">
        <v>0</v>
      </c>
      <c r="O22" s="99">
        <v>0</v>
      </c>
      <c r="P22" s="99">
        <f>C22+E22+G22+J22+L22+N22+MSMEoutstanding_5!M22+OutstandingAgri_4!K22</f>
        <v>887</v>
      </c>
      <c r="Q22" s="99">
        <f>O22+M22+K22+H22+F22+D22+MSMEoutstanding_5!N22+OutstandingAgri_4!L22</f>
        <v>7786.369999999999</v>
      </c>
      <c r="R22" s="100">
        <f>Q22*100/'CD Ratio_3(i)'!F22</f>
        <v>22.292758204066669</v>
      </c>
      <c r="S22" s="111"/>
      <c r="T22" s="111"/>
      <c r="U22" s="111"/>
    </row>
    <row r="23" spans="1:21" ht="15" customHeight="1" x14ac:dyDescent="0.2">
      <c r="A23" s="57">
        <v>18</v>
      </c>
      <c r="B23" s="98" t="s">
        <v>209</v>
      </c>
      <c r="C23" s="99">
        <v>0</v>
      </c>
      <c r="D23" s="99">
        <v>0</v>
      </c>
      <c r="E23" s="99">
        <v>5</v>
      </c>
      <c r="F23" s="99">
        <v>8.09</v>
      </c>
      <c r="G23" s="99">
        <v>81</v>
      </c>
      <c r="H23" s="99">
        <v>640.29</v>
      </c>
      <c r="I23" s="99">
        <v>779.52</v>
      </c>
      <c r="J23" s="99">
        <v>0</v>
      </c>
      <c r="K23" s="99">
        <v>0</v>
      </c>
      <c r="L23" s="99">
        <v>0</v>
      </c>
      <c r="M23" s="99">
        <v>0</v>
      </c>
      <c r="N23" s="99">
        <v>6</v>
      </c>
      <c r="O23" s="99">
        <v>0</v>
      </c>
      <c r="P23" s="99">
        <f>C23+E23+G23+J23+L23+N23+MSMEoutstanding_5!M23+OutstandingAgri_4!K23</f>
        <v>500</v>
      </c>
      <c r="Q23" s="99">
        <f>O23+M23+K23+H23+F23+D23+MSMEoutstanding_5!N23+OutstandingAgri_4!L23</f>
        <v>16458.18</v>
      </c>
      <c r="R23" s="100">
        <f>Q23*100/'CD Ratio_3(i)'!F23</f>
        <v>58.957814350471679</v>
      </c>
      <c r="S23" s="111"/>
      <c r="T23" s="111"/>
      <c r="U23" s="111"/>
    </row>
    <row r="24" spans="1:21" ht="15" customHeight="1" x14ac:dyDescent="0.2">
      <c r="A24" s="57">
        <v>19</v>
      </c>
      <c r="B24" s="104" t="s">
        <v>210</v>
      </c>
      <c r="C24" s="99">
        <v>0</v>
      </c>
      <c r="D24" s="99">
        <v>0</v>
      </c>
      <c r="E24" s="99">
        <v>0</v>
      </c>
      <c r="F24" s="99">
        <v>0</v>
      </c>
      <c r="G24" s="99">
        <v>1216</v>
      </c>
      <c r="H24" s="99">
        <v>8275.2099999999991</v>
      </c>
      <c r="I24" s="99">
        <v>6987</v>
      </c>
      <c r="J24" s="99">
        <v>0</v>
      </c>
      <c r="K24" s="99">
        <v>0</v>
      </c>
      <c r="L24" s="99">
        <v>0</v>
      </c>
      <c r="M24" s="99">
        <v>0</v>
      </c>
      <c r="N24" s="99">
        <v>48</v>
      </c>
      <c r="O24" s="99">
        <v>361</v>
      </c>
      <c r="P24" s="99">
        <f>C24+E24+G24+J24+L24+N24+MSMEoutstanding_5!M24+OutstandingAgri_4!K24</f>
        <v>2406</v>
      </c>
      <c r="Q24" s="99">
        <f>O24+M24+K24+H24+F24+D24+MSMEoutstanding_5!N24+OutstandingAgri_4!L24</f>
        <v>19879.32</v>
      </c>
      <c r="R24" s="100">
        <f>Q24*100/'CD Ratio_3(i)'!F24</f>
        <v>28.369443294849656</v>
      </c>
      <c r="S24" s="111"/>
      <c r="T24" s="111"/>
      <c r="U24" s="111"/>
    </row>
    <row r="25" spans="1:21" ht="15" customHeight="1" x14ac:dyDescent="0.2">
      <c r="A25" s="57">
        <v>20</v>
      </c>
      <c r="B25" s="98" t="s">
        <v>211</v>
      </c>
      <c r="C25" s="99">
        <v>0</v>
      </c>
      <c r="D25" s="99">
        <v>0</v>
      </c>
      <c r="E25" s="99">
        <v>35</v>
      </c>
      <c r="F25" s="99">
        <v>170</v>
      </c>
      <c r="G25" s="99">
        <v>1402</v>
      </c>
      <c r="H25" s="99">
        <v>3893</v>
      </c>
      <c r="I25" s="99">
        <v>5598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f>C25+E25+G25+J25+L25+N25+MSMEoutstanding_5!M25+OutstandingAgri_4!K25</f>
        <v>2106</v>
      </c>
      <c r="Q25" s="99">
        <f>O25+M25+K25+H25+F25+D25+MSMEoutstanding_5!N25+OutstandingAgri_4!L25</f>
        <v>50450</v>
      </c>
      <c r="R25" s="100">
        <f>Q25*100/'CD Ratio_3(i)'!F25</f>
        <v>96.641955443173771</v>
      </c>
      <c r="S25" s="111"/>
      <c r="T25" s="111"/>
      <c r="U25" s="111"/>
    </row>
    <row r="26" spans="1:21" ht="15" customHeight="1" x14ac:dyDescent="0.2">
      <c r="A26" s="57">
        <v>21</v>
      </c>
      <c r="B26" s="98" t="s">
        <v>212</v>
      </c>
      <c r="C26" s="99">
        <v>0</v>
      </c>
      <c r="D26" s="99">
        <v>0</v>
      </c>
      <c r="E26" s="99">
        <v>175</v>
      </c>
      <c r="F26" s="99">
        <v>441</v>
      </c>
      <c r="G26" s="99">
        <v>933</v>
      </c>
      <c r="H26" s="99">
        <v>6348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1813</v>
      </c>
      <c r="O26" s="99">
        <v>9044</v>
      </c>
      <c r="P26" s="99">
        <f>C26+E26+G26+J26+L26+N26+MSMEoutstanding_5!M26+OutstandingAgri_4!K26</f>
        <v>4890</v>
      </c>
      <c r="Q26" s="99">
        <f>O26+M26+K26+H26+F26+D26+MSMEoutstanding_5!N26+OutstandingAgri_4!L26</f>
        <v>22773</v>
      </c>
      <c r="R26" s="100">
        <f>Q26*100/'CD Ratio_3(i)'!F26</f>
        <v>38.362279534390112</v>
      </c>
      <c r="S26" s="111"/>
      <c r="T26" s="111"/>
      <c r="U26" s="111"/>
    </row>
    <row r="27" spans="1:21" ht="15" customHeight="1" x14ac:dyDescent="0.2">
      <c r="A27" s="57">
        <v>22</v>
      </c>
      <c r="B27" s="98" t="s">
        <v>70</v>
      </c>
      <c r="C27" s="99">
        <v>17</v>
      </c>
      <c r="D27" s="99">
        <v>10658</v>
      </c>
      <c r="E27" s="99">
        <v>25130</v>
      </c>
      <c r="F27" s="99">
        <v>55996</v>
      </c>
      <c r="G27" s="99">
        <f>221761-89502</f>
        <v>132259</v>
      </c>
      <c r="H27" s="99">
        <v>709860</v>
      </c>
      <c r="I27" s="99">
        <v>680810</v>
      </c>
      <c r="J27" s="99">
        <v>291</v>
      </c>
      <c r="K27" s="99">
        <v>7829</v>
      </c>
      <c r="L27" s="99">
        <v>41</v>
      </c>
      <c r="M27" s="99">
        <v>63843</v>
      </c>
      <c r="N27" s="99">
        <v>19236</v>
      </c>
      <c r="O27" s="99">
        <v>16618</v>
      </c>
      <c r="P27" s="99">
        <f>C27+E27+G27+J27+L27+N27+MSMEoutstanding_5!M27+OutstandingAgri_4!K27</f>
        <v>935443</v>
      </c>
      <c r="Q27" s="99">
        <f>O27+M27+K27+H27+F27+D27+MSMEoutstanding_5!N27+OutstandingAgri_4!L27</f>
        <v>2523299</v>
      </c>
      <c r="R27" s="100">
        <f>Q27*100/'CD Ratio_3(i)'!F27</f>
        <v>44.759453981629335</v>
      </c>
      <c r="S27" s="111"/>
      <c r="U27" s="111"/>
    </row>
    <row r="28" spans="1:21" ht="15" customHeight="1" x14ac:dyDescent="0.2">
      <c r="A28" s="57">
        <v>23</v>
      </c>
      <c r="B28" s="98" t="s">
        <v>65</v>
      </c>
      <c r="C28" s="99">
        <v>0</v>
      </c>
      <c r="D28" s="99">
        <v>0</v>
      </c>
      <c r="E28" s="99">
        <v>877</v>
      </c>
      <c r="F28" s="99">
        <v>1966</v>
      </c>
      <c r="G28" s="99">
        <v>7337</v>
      </c>
      <c r="H28" s="99">
        <v>16295</v>
      </c>
      <c r="I28" s="99">
        <v>15194</v>
      </c>
      <c r="J28" s="99">
        <v>0</v>
      </c>
      <c r="K28" s="99">
        <v>0</v>
      </c>
      <c r="L28" s="99">
        <v>0</v>
      </c>
      <c r="M28" s="99">
        <v>0</v>
      </c>
      <c r="N28" s="99">
        <f>166+533</f>
        <v>699</v>
      </c>
      <c r="O28" s="99">
        <f>7272+77</f>
        <v>7349</v>
      </c>
      <c r="P28" s="99">
        <f>C28+E28+G28+J28+L28+N28+MSMEoutstanding_5!M28+OutstandingAgri_4!K28</f>
        <v>30586</v>
      </c>
      <c r="Q28" s="99">
        <f>O28+M28+K28+H28+F28+D28+MSMEoutstanding_5!N28+OutstandingAgri_4!L28</f>
        <v>72894</v>
      </c>
      <c r="R28" s="100">
        <f>Q28*100/'CD Ratio_3(i)'!F28</f>
        <v>49.668170234801927</v>
      </c>
    </row>
    <row r="29" spans="1:21" ht="15" customHeight="1" x14ac:dyDescent="0.2">
      <c r="A29" s="57">
        <v>24</v>
      </c>
      <c r="B29" s="98" t="s">
        <v>213</v>
      </c>
      <c r="C29" s="99">
        <v>0</v>
      </c>
      <c r="D29" s="99">
        <v>0</v>
      </c>
      <c r="E29" s="99">
        <v>2312</v>
      </c>
      <c r="F29" s="99">
        <v>5712</v>
      </c>
      <c r="G29" s="99">
        <v>4609</v>
      </c>
      <c r="H29" s="99">
        <v>893</v>
      </c>
      <c r="I29" s="99">
        <v>970</v>
      </c>
      <c r="J29" s="99">
        <v>0</v>
      </c>
      <c r="K29" s="99">
        <v>0</v>
      </c>
      <c r="L29" s="99">
        <v>0</v>
      </c>
      <c r="M29" s="99">
        <v>0</v>
      </c>
      <c r="N29" s="99">
        <f>166+12309</f>
        <v>12475</v>
      </c>
      <c r="O29" s="99">
        <v>21248</v>
      </c>
      <c r="P29" s="99">
        <f>C29+E29+G29+J29+L29+N29+MSMEoutstanding_5!M29+OutstandingAgri_4!K29</f>
        <v>128006</v>
      </c>
      <c r="Q29" s="99">
        <f>O29+M29+K29+H29+F29+D29+MSMEoutstanding_5!N29+OutstandingAgri_4!L29</f>
        <v>286949</v>
      </c>
      <c r="R29" s="100">
        <f>Q29*100/'CD Ratio_3(i)'!F29</f>
        <v>67.229270276033162</v>
      </c>
    </row>
    <row r="30" spans="1:21" ht="15" customHeight="1" x14ac:dyDescent="0.2">
      <c r="A30" s="57">
        <v>25</v>
      </c>
      <c r="B30" s="98" t="s">
        <v>66</v>
      </c>
      <c r="C30" s="99">
        <v>0</v>
      </c>
      <c r="D30" s="99">
        <v>0</v>
      </c>
      <c r="E30" s="99">
        <v>3514</v>
      </c>
      <c r="F30" s="99">
        <v>8214</v>
      </c>
      <c r="G30" s="99">
        <v>33163</v>
      </c>
      <c r="H30" s="99">
        <v>74193</v>
      </c>
      <c r="I30" s="99">
        <v>73766.09</v>
      </c>
      <c r="J30" s="99">
        <v>325</v>
      </c>
      <c r="K30" s="99">
        <v>4322</v>
      </c>
      <c r="L30" s="99">
        <v>2</v>
      </c>
      <c r="M30" s="99">
        <v>850</v>
      </c>
      <c r="N30" s="99">
        <v>733</v>
      </c>
      <c r="O30" s="99">
        <v>15</v>
      </c>
      <c r="P30" s="99">
        <f>C30+E30+G30+J30+L30+N30+MSMEoutstanding_5!M30+OutstandingAgri_4!K30</f>
        <v>202112</v>
      </c>
      <c r="Q30" s="99">
        <f>O30+M30+K30+H30+F30+D30+MSMEoutstanding_5!N30+OutstandingAgri_4!L30</f>
        <v>570881</v>
      </c>
      <c r="R30" s="100">
        <f>Q30*100/'CD Ratio_3(i)'!F30</f>
        <v>62.15057509430676</v>
      </c>
    </row>
    <row r="31" spans="1:21" ht="15" customHeight="1" x14ac:dyDescent="0.2">
      <c r="A31" s="57">
        <v>26</v>
      </c>
      <c r="B31" s="101" t="s">
        <v>67</v>
      </c>
      <c r="C31" s="99">
        <v>0</v>
      </c>
      <c r="D31" s="99">
        <v>0</v>
      </c>
      <c r="E31" s="99">
        <v>103</v>
      </c>
      <c r="F31" s="99">
        <v>290</v>
      </c>
      <c r="G31" s="99">
        <v>468</v>
      </c>
      <c r="H31" s="99">
        <v>4593</v>
      </c>
      <c r="I31" s="99">
        <v>4460</v>
      </c>
      <c r="J31" s="99">
        <v>0</v>
      </c>
      <c r="K31" s="99">
        <v>0</v>
      </c>
      <c r="L31" s="99">
        <v>0</v>
      </c>
      <c r="M31" s="99">
        <v>0</v>
      </c>
      <c r="N31" s="99">
        <f>266+14</f>
        <v>280</v>
      </c>
      <c r="O31" s="99">
        <f>1055+18</f>
        <v>1073</v>
      </c>
      <c r="P31" s="99">
        <f>C31+E31+G31+J31+L31+N31+MSMEoutstanding_5!M31+OutstandingAgri_4!K31</f>
        <v>2361</v>
      </c>
      <c r="Q31" s="99">
        <f>O31+M31+K31+H31+F31+D31+MSMEoutstanding_5!N31+OutstandingAgri_4!L31</f>
        <v>13045</v>
      </c>
      <c r="R31" s="100">
        <f>Q31*100/'CD Ratio_3(i)'!F31</f>
        <v>49.308285455095252</v>
      </c>
    </row>
    <row r="32" spans="1:21" ht="15" customHeight="1" x14ac:dyDescent="0.2">
      <c r="A32" s="57">
        <v>27</v>
      </c>
      <c r="B32" s="98" t="s">
        <v>50</v>
      </c>
      <c r="C32" s="99">
        <v>0</v>
      </c>
      <c r="D32" s="99">
        <v>0</v>
      </c>
      <c r="E32" s="99">
        <v>446</v>
      </c>
      <c r="F32" s="99">
        <v>1074</v>
      </c>
      <c r="G32" s="99">
        <v>1807</v>
      </c>
      <c r="H32" s="99">
        <v>13621</v>
      </c>
      <c r="I32" s="99">
        <v>13066.52</v>
      </c>
      <c r="J32" s="99">
        <v>0</v>
      </c>
      <c r="K32" s="99">
        <v>0</v>
      </c>
      <c r="L32" s="99">
        <v>0</v>
      </c>
      <c r="M32" s="99">
        <v>0</v>
      </c>
      <c r="N32" s="99">
        <f>263+329</f>
        <v>592</v>
      </c>
      <c r="O32" s="99">
        <v>387</v>
      </c>
      <c r="P32" s="99">
        <f>C32+E32+G32+J32+L32+N32+MSMEoutstanding_5!M32+OutstandingAgri_4!K32</f>
        <v>18559</v>
      </c>
      <c r="Q32" s="99">
        <f>O32+M32+K32+H32+F32+D32+MSMEoutstanding_5!N32+OutstandingAgri_4!L32</f>
        <v>58735</v>
      </c>
      <c r="R32" s="100">
        <f>Q32*100/'CD Ratio_3(i)'!F32</f>
        <v>74.515052713040603</v>
      </c>
    </row>
    <row r="33" spans="1:18" s="108" customFormat="1" ht="15" customHeight="1" x14ac:dyDescent="0.2">
      <c r="A33" s="356"/>
      <c r="B33" s="105" t="s">
        <v>294</v>
      </c>
      <c r="C33" s="106">
        <f>SUM(C6:C32)</f>
        <v>27</v>
      </c>
      <c r="D33" s="106">
        <f t="shared" ref="D33:O33" si="0">SUM(D6:D32)</f>
        <v>13179</v>
      </c>
      <c r="E33" s="106">
        <f t="shared" si="0"/>
        <v>74775</v>
      </c>
      <c r="F33" s="106">
        <f t="shared" si="0"/>
        <v>174332.01</v>
      </c>
      <c r="G33" s="106">
        <f t="shared" si="0"/>
        <v>468730</v>
      </c>
      <c r="H33" s="106">
        <f t="shared" si="0"/>
        <v>1535707.04</v>
      </c>
      <c r="I33" s="106">
        <v>1486680.1</v>
      </c>
      <c r="J33" s="106">
        <f t="shared" si="0"/>
        <v>1090</v>
      </c>
      <c r="K33" s="106">
        <f t="shared" si="0"/>
        <v>13646.79</v>
      </c>
      <c r="L33" s="106">
        <f t="shared" si="0"/>
        <v>58</v>
      </c>
      <c r="M33" s="106">
        <f t="shared" si="0"/>
        <v>65375.95</v>
      </c>
      <c r="N33" s="106">
        <f t="shared" si="0"/>
        <v>114842</v>
      </c>
      <c r="O33" s="106">
        <f t="shared" si="0"/>
        <v>164853.09</v>
      </c>
      <c r="P33" s="106">
        <f>C33+E33+G33+J33+L33+N33+MSMEoutstanding_5!M33+OutstandingAgri_4!K33</f>
        <v>3321033</v>
      </c>
      <c r="Q33" s="106">
        <f>O33+M33+K33+H33+F33+D33+MSMEoutstanding_5!N33+OutstandingAgri_4!L33</f>
        <v>8879786.8900000006</v>
      </c>
      <c r="R33" s="97">
        <f>Q33*100/'CD Ratio_3(i)'!F33</f>
        <v>59.024742546156858</v>
      </c>
    </row>
    <row r="34" spans="1:18" ht="15" customHeight="1" x14ac:dyDescent="0.2">
      <c r="A34" s="57">
        <v>28</v>
      </c>
      <c r="B34" s="98" t="s">
        <v>47</v>
      </c>
      <c r="C34" s="99">
        <v>0</v>
      </c>
      <c r="D34" s="99">
        <v>0</v>
      </c>
      <c r="E34" s="99">
        <v>305</v>
      </c>
      <c r="F34" s="99">
        <v>1299.0899999999999</v>
      </c>
      <c r="G34" s="99">
        <v>6575</v>
      </c>
      <c r="H34" s="99">
        <v>67057.47</v>
      </c>
      <c r="I34" s="99">
        <v>65836.63</v>
      </c>
      <c r="J34" s="99">
        <v>0</v>
      </c>
      <c r="K34" s="99">
        <v>0</v>
      </c>
      <c r="L34" s="99">
        <v>0</v>
      </c>
      <c r="M34" s="99">
        <v>0</v>
      </c>
      <c r="N34" s="99">
        <v>61951</v>
      </c>
      <c r="O34" s="99">
        <f>564+6550.97</f>
        <v>7114.97</v>
      </c>
      <c r="P34" s="99">
        <f>C34+E34+G34+J34+L34+N34+MSMEoutstanding_5!M34+OutstandingAgri_4!K34</f>
        <v>173597</v>
      </c>
      <c r="Q34" s="99">
        <f>O34+M34+K34+H34+F34+D34+MSMEoutstanding_5!N34+OutstandingAgri_4!L34</f>
        <v>283562.43</v>
      </c>
      <c r="R34" s="100">
        <f>Q34*100/'CD Ratio_3(i)'!F34</f>
        <v>48.134680006424688</v>
      </c>
    </row>
    <row r="35" spans="1:18" ht="15" customHeight="1" x14ac:dyDescent="0.2">
      <c r="A35" s="57">
        <v>29</v>
      </c>
      <c r="B35" s="98" t="s">
        <v>215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f>C35+E35+G35+J35+L35+N35+MSMEoutstanding_5!M35+OutstandingAgri_4!K35</f>
        <v>154038</v>
      </c>
      <c r="Q35" s="99">
        <f>O35+M35+K35+H35+F35+D35+MSMEoutstanding_5!N35+OutstandingAgri_4!L35</f>
        <v>52638</v>
      </c>
      <c r="R35" s="100">
        <f>Q35*100/'CD Ratio_3(i)'!F35</f>
        <v>100</v>
      </c>
    </row>
    <row r="36" spans="1:18" ht="15" customHeight="1" x14ac:dyDescent="0.2">
      <c r="A36" s="57">
        <v>30</v>
      </c>
      <c r="B36" s="5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113</v>
      </c>
      <c r="O36" s="99">
        <v>704</v>
      </c>
      <c r="P36" s="99">
        <f>C36+E36+G36+J36+L36+N36+MSMEoutstanding_5!M36+OutstandingAgri_4!K36</f>
        <v>113</v>
      </c>
      <c r="Q36" s="99">
        <f>O36+M36+K36+H36+F36+D36+MSMEoutstanding_5!N36+OutstandingAgri_4!L36</f>
        <v>704</v>
      </c>
      <c r="R36" s="100">
        <f>Q36*100/'CD Ratio_3(i)'!F36</f>
        <v>100</v>
      </c>
    </row>
    <row r="37" spans="1:18" ht="15" customHeight="1" x14ac:dyDescent="0.2">
      <c r="A37" s="57">
        <v>31</v>
      </c>
      <c r="B37" s="5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1</v>
      </c>
      <c r="O37" s="99">
        <v>1.98</v>
      </c>
      <c r="P37" s="99">
        <f>C37+E37+G37+J37+L37+N37+MSMEoutstanding_5!M37+OutstandingAgri_4!K37</f>
        <v>1</v>
      </c>
      <c r="Q37" s="99">
        <f>O37+M37+K37+H37+F37+D37+MSMEoutstanding_5!N37+OutstandingAgri_4!L37</f>
        <v>1.98</v>
      </c>
      <c r="R37" s="100">
        <f>Q37*100/'CD Ratio_3(i)'!F37</f>
        <v>100</v>
      </c>
    </row>
    <row r="38" spans="1:18" ht="15" customHeight="1" x14ac:dyDescent="0.2">
      <c r="A38" s="57">
        <v>32</v>
      </c>
      <c r="B38" s="98" t="s">
        <v>51</v>
      </c>
      <c r="C38" s="99">
        <v>0</v>
      </c>
      <c r="D38" s="99">
        <v>0</v>
      </c>
      <c r="E38" s="99">
        <v>2</v>
      </c>
      <c r="F38" s="99">
        <v>10.130000000000001</v>
      </c>
      <c r="G38" s="99">
        <v>39</v>
      </c>
      <c r="H38" s="99">
        <v>316.95999999999998</v>
      </c>
      <c r="I38" s="99">
        <v>321.85000000000002</v>
      </c>
      <c r="J38" s="99">
        <v>0</v>
      </c>
      <c r="K38" s="99">
        <v>0</v>
      </c>
      <c r="L38" s="99">
        <v>0</v>
      </c>
      <c r="M38" s="99">
        <v>0</v>
      </c>
      <c r="N38" s="99">
        <v>0</v>
      </c>
      <c r="O38" s="99">
        <v>0</v>
      </c>
      <c r="P38" s="99">
        <f>C38+E38+G38+J38+L38+N38+MSMEoutstanding_5!M38+OutstandingAgri_4!K38</f>
        <v>136</v>
      </c>
      <c r="Q38" s="99">
        <f>O38+M38+K38+H38+F38+D38+MSMEoutstanding_5!N38+OutstandingAgri_4!L38</f>
        <v>4446.3</v>
      </c>
      <c r="R38" s="100">
        <f>Q38*100/'CD Ratio_3(i)'!F38</f>
        <v>52.174372213095516</v>
      </c>
    </row>
    <row r="39" spans="1:18" ht="15" customHeight="1" x14ac:dyDescent="0.2">
      <c r="A39" s="57">
        <v>33</v>
      </c>
      <c r="B39" s="98" t="s">
        <v>217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1119</v>
      </c>
      <c r="O39" s="99">
        <v>48279</v>
      </c>
      <c r="P39" s="99">
        <f>C39+E39+G39+J39+L39+N39+MSMEoutstanding_5!M39+OutstandingAgri_4!K39</f>
        <v>1119</v>
      </c>
      <c r="Q39" s="99">
        <f>O39+M39+K39+H39+F39+D39+MSMEoutstanding_5!N39+OutstandingAgri_4!L39</f>
        <v>48279</v>
      </c>
      <c r="R39" s="100">
        <f>Q39*100/'CD Ratio_3(i)'!F39</f>
        <v>100</v>
      </c>
    </row>
    <row r="40" spans="1:18" ht="15" customHeight="1" x14ac:dyDescent="0.2">
      <c r="A40" s="57">
        <v>34</v>
      </c>
      <c r="B40" s="98" t="s">
        <v>218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99">
        <v>0</v>
      </c>
      <c r="O40" s="99">
        <v>0</v>
      </c>
      <c r="P40" s="99">
        <f>C40+E40+G40+J40+L40+N40+MSMEoutstanding_5!M40+OutstandingAgri_4!K40</f>
        <v>0</v>
      </c>
      <c r="Q40" s="99">
        <f>O40+M40+K40+H40+F40+D40+MSMEoutstanding_5!N40+OutstandingAgri_4!L40</f>
        <v>0</v>
      </c>
      <c r="R40" s="100">
        <f>Q40*100/'CD Ratio_3(i)'!F40</f>
        <v>0</v>
      </c>
    </row>
    <row r="41" spans="1:18" ht="15" customHeight="1" x14ac:dyDescent="0.2">
      <c r="A41" s="57">
        <v>35</v>
      </c>
      <c r="B41" s="98" t="s">
        <v>219</v>
      </c>
      <c r="C41" s="99">
        <v>0</v>
      </c>
      <c r="D41" s="99">
        <v>0</v>
      </c>
      <c r="E41" s="99">
        <v>14</v>
      </c>
      <c r="F41" s="99">
        <v>22.24</v>
      </c>
      <c r="G41" s="99">
        <v>136</v>
      </c>
      <c r="H41" s="99">
        <v>857.96</v>
      </c>
      <c r="I41" s="99">
        <v>819.13</v>
      </c>
      <c r="J41" s="99">
        <v>0</v>
      </c>
      <c r="K41" s="99">
        <v>0</v>
      </c>
      <c r="L41" s="99">
        <v>0</v>
      </c>
      <c r="M41" s="99">
        <v>0</v>
      </c>
      <c r="N41" s="99">
        <f>23+19</f>
        <v>42</v>
      </c>
      <c r="O41" s="99">
        <f>207+6.8</f>
        <v>213.8</v>
      </c>
      <c r="P41" s="99">
        <f>C41+E41+G41+J41+L41+N41+MSMEoutstanding_5!M41+OutstandingAgri_4!K41</f>
        <v>2966</v>
      </c>
      <c r="Q41" s="99">
        <f>O41+M41+K41+H41+F41+D41+MSMEoutstanding_5!N41+OutstandingAgri_4!L41</f>
        <v>9029.86</v>
      </c>
      <c r="R41" s="100">
        <f>Q41*100/'CD Ratio_3(i)'!F41</f>
        <v>58.316907903064553</v>
      </c>
    </row>
    <row r="42" spans="1:18" ht="15" customHeight="1" x14ac:dyDescent="0.2">
      <c r="A42" s="57">
        <v>36</v>
      </c>
      <c r="B42" s="98" t="s">
        <v>71</v>
      </c>
      <c r="C42" s="99">
        <v>23</v>
      </c>
      <c r="D42" s="99">
        <v>6126</v>
      </c>
      <c r="E42" s="99">
        <v>1376</v>
      </c>
      <c r="F42" s="99">
        <v>2693</v>
      </c>
      <c r="G42" s="99">
        <v>11081</v>
      </c>
      <c r="H42" s="99">
        <v>72353</v>
      </c>
      <c r="I42" s="99">
        <v>72614</v>
      </c>
      <c r="J42" s="99">
        <v>0</v>
      </c>
      <c r="K42" s="99">
        <v>0</v>
      </c>
      <c r="L42" s="99">
        <v>1</v>
      </c>
      <c r="M42" s="99">
        <v>32</v>
      </c>
      <c r="N42" s="99">
        <v>1373</v>
      </c>
      <c r="O42" s="99">
        <v>168</v>
      </c>
      <c r="P42" s="99">
        <f>C42+E42+G42+J42+L42+N42+MSMEoutstanding_5!M42+OutstandingAgri_4!K42</f>
        <v>290227</v>
      </c>
      <c r="Q42" s="99">
        <f>O42+M42+K42+H42+F42+D42+MSMEoutstanding_5!N42+OutstandingAgri_4!L42</f>
        <v>676512</v>
      </c>
      <c r="R42" s="100">
        <f>Q42*100/'CD Ratio_3(i)'!F42</f>
        <v>57.445247540894513</v>
      </c>
    </row>
    <row r="43" spans="1:18" ht="15" customHeight="1" x14ac:dyDescent="0.2">
      <c r="A43" s="57">
        <v>37</v>
      </c>
      <c r="B43" s="98" t="s">
        <v>72</v>
      </c>
      <c r="C43" s="99">
        <v>0</v>
      </c>
      <c r="D43" s="99">
        <v>0</v>
      </c>
      <c r="E43" s="99">
        <v>31</v>
      </c>
      <c r="F43" s="99">
        <v>48</v>
      </c>
      <c r="G43" s="99">
        <v>3542</v>
      </c>
      <c r="H43" s="99">
        <v>19408</v>
      </c>
      <c r="I43" s="99">
        <v>29618</v>
      </c>
      <c r="J43" s="99">
        <v>0</v>
      </c>
      <c r="K43" s="99">
        <v>0</v>
      </c>
      <c r="L43" s="99">
        <v>2</v>
      </c>
      <c r="M43" s="99">
        <v>2092</v>
      </c>
      <c r="N43" s="99">
        <v>494</v>
      </c>
      <c r="O43" s="99">
        <v>178</v>
      </c>
      <c r="P43" s="99">
        <f>C43+E43+G43+J43+L43+N43+MSMEoutstanding_5!M43+OutstandingAgri_4!K43</f>
        <v>148689</v>
      </c>
      <c r="Q43" s="99">
        <f>O43+M43+K43+H43+F43+D43+MSMEoutstanding_5!N43+OutstandingAgri_4!L43</f>
        <v>486267</v>
      </c>
      <c r="R43" s="100">
        <f>Q43*100/'CD Ratio_3(i)'!F43</f>
        <v>46.34119843441318</v>
      </c>
    </row>
    <row r="44" spans="1:18" ht="15" customHeight="1" x14ac:dyDescent="0.2">
      <c r="A44" s="57">
        <v>38</v>
      </c>
      <c r="B44" s="98" t="s">
        <v>220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v>0</v>
      </c>
      <c r="L44" s="99">
        <v>0</v>
      </c>
      <c r="M44" s="99">
        <v>0</v>
      </c>
      <c r="N44" s="99">
        <v>31</v>
      </c>
      <c r="O44" s="99">
        <v>2</v>
      </c>
      <c r="P44" s="99">
        <f>C44+E44+G44+J44+L44+N44+MSMEoutstanding_5!M44+OutstandingAgri_4!K44</f>
        <v>137320</v>
      </c>
      <c r="Q44" s="99">
        <f>O44+M44+K44+H44+F44+D44+MSMEoutstanding_5!N44+OutstandingAgri_4!L44</f>
        <v>14675</v>
      </c>
      <c r="R44" s="100">
        <f>Q44*100/'CD Ratio_3(i)'!F44</f>
        <v>95.341735966735968</v>
      </c>
    </row>
    <row r="45" spans="1:18" ht="15" customHeight="1" x14ac:dyDescent="0.2">
      <c r="A45" s="57">
        <v>39</v>
      </c>
      <c r="B45" s="98" t="s">
        <v>221</v>
      </c>
      <c r="C45" s="99">
        <v>0</v>
      </c>
      <c r="D45" s="99">
        <v>0</v>
      </c>
      <c r="E45" s="99">
        <v>0</v>
      </c>
      <c r="F45" s="99">
        <v>0</v>
      </c>
      <c r="G45" s="99">
        <v>2</v>
      </c>
      <c r="H45" s="99">
        <v>2</v>
      </c>
      <c r="I45" s="99">
        <v>0.91</v>
      </c>
      <c r="J45" s="99">
        <v>0</v>
      </c>
      <c r="K45" s="99">
        <v>0</v>
      </c>
      <c r="L45" s="99">
        <v>0</v>
      </c>
      <c r="M45" s="99">
        <v>0</v>
      </c>
      <c r="N45" s="99">
        <v>1</v>
      </c>
      <c r="O45" s="99">
        <v>1</v>
      </c>
      <c r="P45" s="99">
        <f>C45+E45+G45+J45+L45+N45+MSMEoutstanding_5!M45+OutstandingAgri_4!K45</f>
        <v>74687</v>
      </c>
      <c r="Q45" s="99">
        <f>O45+M45+K45+H45+F45+D45+MSMEoutstanding_5!N45+OutstandingAgri_4!L45</f>
        <v>176200</v>
      </c>
      <c r="R45" s="100">
        <f>Q45*100/'CD Ratio_3(i)'!F45</f>
        <v>65.784069950643286</v>
      </c>
    </row>
    <row r="46" spans="1:18" ht="15" customHeight="1" x14ac:dyDescent="0.2">
      <c r="A46" s="57">
        <v>40</v>
      </c>
      <c r="B46" s="98" t="s">
        <v>222</v>
      </c>
      <c r="C46" s="99">
        <v>0</v>
      </c>
      <c r="D46" s="99">
        <v>0</v>
      </c>
      <c r="E46" s="99">
        <v>8</v>
      </c>
      <c r="F46" s="99">
        <v>14</v>
      </c>
      <c r="G46" s="99">
        <v>35</v>
      </c>
      <c r="H46" s="99">
        <v>229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15</v>
      </c>
      <c r="O46" s="99">
        <v>53</v>
      </c>
      <c r="P46" s="99">
        <f>C46+E46+G46+J46+L46+N46+MSMEoutstanding_5!M46+OutstandingAgri_4!K46</f>
        <v>300</v>
      </c>
      <c r="Q46" s="99">
        <f>O46+M46+K46+H46+F46+D46+MSMEoutstanding_5!N46+OutstandingAgri_4!L46</f>
        <v>1140</v>
      </c>
      <c r="R46" s="100">
        <f>Q46*100/'CD Ratio_3(i)'!F46</f>
        <v>35.174328910829992</v>
      </c>
    </row>
    <row r="47" spans="1:18" ht="15" customHeight="1" x14ac:dyDescent="0.2">
      <c r="A47" s="57">
        <v>41</v>
      </c>
      <c r="B47" s="98" t="s">
        <v>223</v>
      </c>
      <c r="C47" s="99">
        <v>0</v>
      </c>
      <c r="D47" s="99">
        <v>0</v>
      </c>
      <c r="E47" s="99">
        <v>12</v>
      </c>
      <c r="F47" s="99">
        <v>661.85</v>
      </c>
      <c r="G47" s="99">
        <v>207</v>
      </c>
      <c r="H47" s="99">
        <v>1731.32</v>
      </c>
      <c r="I47" s="99">
        <v>1353.18</v>
      </c>
      <c r="J47" s="99">
        <v>0</v>
      </c>
      <c r="K47" s="99">
        <v>0</v>
      </c>
      <c r="L47" s="99">
        <v>0</v>
      </c>
      <c r="M47" s="99">
        <v>0</v>
      </c>
      <c r="N47" s="99">
        <v>322</v>
      </c>
      <c r="O47" s="99">
        <v>4256</v>
      </c>
      <c r="P47" s="99">
        <f>C47+E47+G47+J47+L47+N47+MSMEoutstanding_5!M47+OutstandingAgri_4!K47</f>
        <v>1528</v>
      </c>
      <c r="Q47" s="99">
        <f>O47+M47+K47+H47+F47+D47+MSMEoutstanding_5!N47+OutstandingAgri_4!L47</f>
        <v>22429.719999999998</v>
      </c>
      <c r="R47" s="100">
        <f>Q47*100/'CD Ratio_3(i)'!F47</f>
        <v>70.582541380829497</v>
      </c>
    </row>
    <row r="48" spans="1:18" ht="15" customHeight="1" x14ac:dyDescent="0.2">
      <c r="A48" s="57">
        <v>42</v>
      </c>
      <c r="B48" s="98" t="s">
        <v>224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99">
        <v>0</v>
      </c>
      <c r="O48" s="99">
        <v>0</v>
      </c>
      <c r="P48" s="99">
        <f>C48+E48+G48+J48+L48+N48+MSMEoutstanding_5!M48+OutstandingAgri_4!K48</f>
        <v>0</v>
      </c>
      <c r="Q48" s="99">
        <f>O48+M48+K48+H48+F48+D48+MSMEoutstanding_5!N48+OutstandingAgri_4!L48</f>
        <v>0</v>
      </c>
      <c r="R48" s="100">
        <f>Q48*100/'CD Ratio_3(i)'!F48</f>
        <v>0</v>
      </c>
    </row>
    <row r="49" spans="1:18" ht="15" customHeight="1" x14ac:dyDescent="0.2">
      <c r="A49" s="57">
        <v>43</v>
      </c>
      <c r="B49" s="107" t="s">
        <v>73</v>
      </c>
      <c r="C49" s="99">
        <v>0</v>
      </c>
      <c r="D49" s="99">
        <v>0</v>
      </c>
      <c r="E49" s="99">
        <v>1</v>
      </c>
      <c r="F49" s="99">
        <v>6</v>
      </c>
      <c r="G49" s="99">
        <v>155</v>
      </c>
      <c r="H49" s="99">
        <v>541</v>
      </c>
      <c r="I49" s="99">
        <v>634</v>
      </c>
      <c r="J49" s="99">
        <v>0</v>
      </c>
      <c r="K49" s="99">
        <v>0</v>
      </c>
      <c r="L49" s="99">
        <v>0</v>
      </c>
      <c r="M49" s="99">
        <v>0</v>
      </c>
      <c r="N49" s="99">
        <v>47</v>
      </c>
      <c r="O49" s="99">
        <v>24</v>
      </c>
      <c r="P49" s="99">
        <f>C49+E49+G49+J49+L49+N49+MSMEoutstanding_5!M49+OutstandingAgri_4!K49</f>
        <v>35950</v>
      </c>
      <c r="Q49" s="99">
        <f>O49+M49+K49+H49+F49+D49+MSMEoutstanding_5!N49+OutstandingAgri_4!L49</f>
        <v>163093</v>
      </c>
      <c r="R49" s="100">
        <f>Q49*100/'CD Ratio_3(i)'!F49</f>
        <v>73.119479937233805</v>
      </c>
    </row>
    <row r="50" spans="1:18" ht="15" customHeight="1" x14ac:dyDescent="0.2">
      <c r="A50" s="57">
        <v>44</v>
      </c>
      <c r="B50" s="98" t="s">
        <v>225</v>
      </c>
      <c r="C50" s="99">
        <v>0</v>
      </c>
      <c r="D50" s="99">
        <v>0</v>
      </c>
      <c r="E50" s="99">
        <v>0</v>
      </c>
      <c r="F50" s="99">
        <v>0</v>
      </c>
      <c r="G50" s="99">
        <v>9</v>
      </c>
      <c r="H50" s="99">
        <v>75</v>
      </c>
      <c r="I50" s="99">
        <v>83</v>
      </c>
      <c r="J50" s="99">
        <v>0</v>
      </c>
      <c r="K50" s="99">
        <v>0</v>
      </c>
      <c r="L50" s="99">
        <v>0</v>
      </c>
      <c r="M50" s="99">
        <v>0</v>
      </c>
      <c r="N50" s="99">
        <v>109</v>
      </c>
      <c r="O50" s="99">
        <v>1020</v>
      </c>
      <c r="P50" s="99">
        <f>C50+E50+G50+J50+L50+N50+MSMEoutstanding_5!M50+OutstandingAgri_4!K50</f>
        <v>119</v>
      </c>
      <c r="Q50" s="99">
        <f>O50+M50+K50+H50+F50+D50+MSMEoutstanding_5!N50+OutstandingAgri_4!L50</f>
        <v>1311</v>
      </c>
      <c r="R50" s="100">
        <f>Q50*100/'CD Ratio_3(i)'!F50</f>
        <v>28.889378580872631</v>
      </c>
    </row>
    <row r="51" spans="1:18" ht="15" customHeight="1" x14ac:dyDescent="0.2">
      <c r="A51" s="57">
        <v>45</v>
      </c>
      <c r="B51" s="98" t="s">
        <v>226</v>
      </c>
      <c r="C51" s="99">
        <v>0</v>
      </c>
      <c r="D51" s="99">
        <v>0</v>
      </c>
      <c r="E51" s="99">
        <v>815</v>
      </c>
      <c r="F51" s="99">
        <v>98</v>
      </c>
      <c r="G51" s="99">
        <v>451</v>
      </c>
      <c r="H51" s="99">
        <v>67</v>
      </c>
      <c r="I51" s="99">
        <v>86</v>
      </c>
      <c r="J51" s="99">
        <v>0</v>
      </c>
      <c r="K51" s="99">
        <v>0</v>
      </c>
      <c r="L51" s="99">
        <v>0</v>
      </c>
      <c r="M51" s="99">
        <v>0</v>
      </c>
      <c r="N51" s="99">
        <v>150898</v>
      </c>
      <c r="O51" s="99">
        <v>18581</v>
      </c>
      <c r="P51" s="99">
        <f>C51+E51+G51+J51+L51+N51+MSMEoutstanding_5!M51+OutstandingAgri_4!K51</f>
        <v>158236</v>
      </c>
      <c r="Q51" s="99">
        <f>O51+M51+K51+H51+F51+D51+MSMEoutstanding_5!N51+OutstandingAgri_4!L51</f>
        <v>50734</v>
      </c>
      <c r="R51" s="100">
        <f>Q51*100/'CD Ratio_3(i)'!F51</f>
        <v>61.175420826701391</v>
      </c>
    </row>
    <row r="52" spans="1:18" ht="15" customHeight="1" x14ac:dyDescent="0.2">
      <c r="A52" s="57">
        <v>46</v>
      </c>
      <c r="B52" s="98" t="s">
        <v>227</v>
      </c>
      <c r="C52" s="99">
        <v>0</v>
      </c>
      <c r="D52" s="99">
        <v>0</v>
      </c>
      <c r="E52" s="99">
        <v>0</v>
      </c>
      <c r="F52" s="99">
        <v>0</v>
      </c>
      <c r="G52" s="99">
        <v>0</v>
      </c>
      <c r="H52" s="99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</v>
      </c>
      <c r="O52" s="99">
        <v>0</v>
      </c>
      <c r="P52" s="99">
        <f>C52+E52+G52+J52+L52+N52+MSMEoutstanding_5!M52+OutstandingAgri_4!K52</f>
        <v>168</v>
      </c>
      <c r="Q52" s="99">
        <f>O52+M52+K52+H52+F52+D52+MSMEoutstanding_5!N52+OutstandingAgri_4!L52</f>
        <v>5069.5</v>
      </c>
      <c r="R52" s="100">
        <f>Q52*100/'CD Ratio_3(i)'!F52</f>
        <v>97.150916892320481</v>
      </c>
    </row>
    <row r="53" spans="1:18" ht="15" customHeight="1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f>C53+E53+G53+J53+L53+N53+MSMEoutstanding_5!M53+OutstandingAgri_4!K53</f>
        <v>0</v>
      </c>
      <c r="Q53" s="99">
        <f>O53+M53+K53+H53+F53+D53+MSMEoutstanding_5!N53+OutstandingAgri_4!L53</f>
        <v>0</v>
      </c>
      <c r="R53" s="100">
        <f>Q53*100/'CD Ratio_3(i)'!F53</f>
        <v>0</v>
      </c>
    </row>
    <row r="54" spans="1:18" ht="15" customHeight="1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f>C54+E54+G54+J54+L54+N54+MSMEoutstanding_5!M54+OutstandingAgri_4!K54</f>
        <v>0</v>
      </c>
      <c r="Q54" s="99">
        <f>O54+M54+K54+H54+F54+D54+MSMEoutstanding_5!N54+OutstandingAgri_4!L54</f>
        <v>0</v>
      </c>
      <c r="R54" s="100">
        <f>Q54*100/'CD Ratio_3(i)'!F54</f>
        <v>0</v>
      </c>
    </row>
    <row r="55" spans="1:18" ht="15" customHeight="1" x14ac:dyDescent="0.2">
      <c r="A55" s="57">
        <v>49</v>
      </c>
      <c r="B55" s="98" t="s">
        <v>76</v>
      </c>
      <c r="C55" s="99">
        <v>0</v>
      </c>
      <c r="D55" s="99">
        <v>0</v>
      </c>
      <c r="E55" s="99">
        <v>0</v>
      </c>
      <c r="F55" s="99">
        <v>0</v>
      </c>
      <c r="G55" s="99">
        <v>82</v>
      </c>
      <c r="H55" s="99">
        <v>576</v>
      </c>
      <c r="I55" s="99">
        <v>311</v>
      </c>
      <c r="J55" s="99">
        <v>0</v>
      </c>
      <c r="K55" s="99">
        <v>0</v>
      </c>
      <c r="L55" s="99">
        <v>0</v>
      </c>
      <c r="M55" s="99">
        <v>0</v>
      </c>
      <c r="N55" s="99">
        <v>108</v>
      </c>
      <c r="O55" s="99">
        <v>71</v>
      </c>
      <c r="P55" s="99">
        <f>C55+E55+G55+J55+L55+N55+MSMEoutstanding_5!M55+OutstandingAgri_4!K55</f>
        <v>19078</v>
      </c>
      <c r="Q55" s="99">
        <f>O55+M55+K55+H55+F55+D55+MSMEoutstanding_5!N55+OutstandingAgri_4!L55</f>
        <v>58231</v>
      </c>
      <c r="R55" s="100">
        <f>Q55*100/'CD Ratio_3(i)'!F55</f>
        <v>79.154772585161624</v>
      </c>
    </row>
    <row r="56" spans="1:18" ht="15" customHeight="1" x14ac:dyDescent="0.2">
      <c r="A56" s="60"/>
      <c r="B56" s="105" t="s">
        <v>289</v>
      </c>
      <c r="C56" s="106">
        <f>SUM(C34:C55)</f>
        <v>23</v>
      </c>
      <c r="D56" s="106">
        <f t="shared" ref="D56:O56" si="1">SUM(D34:D55)</f>
        <v>6126</v>
      </c>
      <c r="E56" s="106">
        <f t="shared" si="1"/>
        <v>2564</v>
      </c>
      <c r="F56" s="106">
        <f t="shared" si="1"/>
        <v>4852.3100000000004</v>
      </c>
      <c r="G56" s="106">
        <f t="shared" si="1"/>
        <v>22314</v>
      </c>
      <c r="H56" s="106">
        <f t="shared" si="1"/>
        <v>163214.71000000002</v>
      </c>
      <c r="I56" s="106">
        <v>171677.7</v>
      </c>
      <c r="J56" s="106">
        <f t="shared" si="1"/>
        <v>0</v>
      </c>
      <c r="K56" s="106">
        <f t="shared" si="1"/>
        <v>0</v>
      </c>
      <c r="L56" s="106">
        <f t="shared" si="1"/>
        <v>3</v>
      </c>
      <c r="M56" s="106">
        <f t="shared" si="1"/>
        <v>2124</v>
      </c>
      <c r="N56" s="106">
        <f t="shared" si="1"/>
        <v>216624</v>
      </c>
      <c r="O56" s="106">
        <f t="shared" si="1"/>
        <v>80667.75</v>
      </c>
      <c r="P56" s="106">
        <f>C56+E56+G56+J56+L56+N56+MSMEoutstanding_5!M56+OutstandingAgri_4!K56</f>
        <v>1198272</v>
      </c>
      <c r="Q56" s="106">
        <f>O56+M56+K56+H56+F56+D56+MSMEoutstanding_5!N56+OutstandingAgri_4!L56</f>
        <v>2054323.79</v>
      </c>
      <c r="R56" s="97">
        <f>Q56*100/'CD Ratio_3(i)'!F56</f>
        <v>55.90916493116346</v>
      </c>
    </row>
    <row r="57" spans="1:18" ht="15" customHeight="1" x14ac:dyDescent="0.2">
      <c r="A57" s="57">
        <v>48</v>
      </c>
      <c r="B57" s="58" t="s">
        <v>46</v>
      </c>
      <c r="C57" s="99">
        <v>0</v>
      </c>
      <c r="D57" s="99">
        <v>0</v>
      </c>
      <c r="E57" s="99">
        <v>1205</v>
      </c>
      <c r="F57" s="99">
        <v>2825.48</v>
      </c>
      <c r="G57" s="99">
        <v>143730</v>
      </c>
      <c r="H57" s="99">
        <v>75547.08</v>
      </c>
      <c r="I57" s="99">
        <v>74070.55</v>
      </c>
      <c r="J57" s="99">
        <v>0</v>
      </c>
      <c r="K57" s="99">
        <v>0</v>
      </c>
      <c r="L57" s="99">
        <v>84</v>
      </c>
      <c r="M57" s="99">
        <v>13.54</v>
      </c>
      <c r="N57" s="99">
        <v>7532</v>
      </c>
      <c r="O57" s="99">
        <v>3023.75</v>
      </c>
      <c r="P57" s="99">
        <f>C57+E57+G57+J57+L57+N57+MSMEoutstanding_5!M57+OutstandingAgri_4!K57</f>
        <v>368215</v>
      </c>
      <c r="Q57" s="99">
        <f>O57+M57+K57+H57+F57+D57+MSMEoutstanding_5!N57+OutstandingAgri_4!L57</f>
        <v>343152.95</v>
      </c>
      <c r="R57" s="100">
        <f>Q57*100/'CD Ratio_3(i)'!F57</f>
        <v>88.944661163022772</v>
      </c>
    </row>
    <row r="58" spans="1:18" ht="15" customHeight="1" x14ac:dyDescent="0.2">
      <c r="A58" s="57">
        <v>49</v>
      </c>
      <c r="B58" s="58" t="s">
        <v>229</v>
      </c>
      <c r="C58" s="99">
        <v>0</v>
      </c>
      <c r="D58" s="99">
        <v>0</v>
      </c>
      <c r="E58" s="99">
        <v>636</v>
      </c>
      <c r="F58" s="99">
        <v>1231</v>
      </c>
      <c r="G58" s="99">
        <v>57945</v>
      </c>
      <c r="H58" s="99">
        <v>48038</v>
      </c>
      <c r="I58" s="99">
        <v>46905</v>
      </c>
      <c r="J58" s="99">
        <v>0</v>
      </c>
      <c r="K58" s="99">
        <v>0</v>
      </c>
      <c r="L58" s="99">
        <v>740</v>
      </c>
      <c r="M58" s="99">
        <v>157</v>
      </c>
      <c r="N58" s="99">
        <f>76519</f>
        <v>76519</v>
      </c>
      <c r="O58" s="99">
        <f>32201+4626-32201</f>
        <v>4626</v>
      </c>
      <c r="P58" s="99">
        <f>C58+E58+G58+J58+L58+N58+MSMEoutstanding_5!M58+OutstandingAgri_4!K58</f>
        <v>396114</v>
      </c>
      <c r="Q58" s="99">
        <f>O58+M58+K58+H58+F58+D58+MSMEoutstanding_5!N58+OutstandingAgri_4!L58</f>
        <v>234120</v>
      </c>
      <c r="R58" s="100">
        <f>Q58*100/'CD Ratio_3(i)'!F58</f>
        <v>93.493548657617609</v>
      </c>
    </row>
    <row r="59" spans="1:18" ht="15" customHeight="1" x14ac:dyDescent="0.2">
      <c r="A59" s="57">
        <v>50</v>
      </c>
      <c r="B59" s="58" t="s">
        <v>52</v>
      </c>
      <c r="C59" s="99">
        <v>0</v>
      </c>
      <c r="D59" s="99">
        <v>0</v>
      </c>
      <c r="E59" s="99">
        <v>2071</v>
      </c>
      <c r="F59" s="99">
        <v>4442</v>
      </c>
      <c r="G59" s="99">
        <v>61794</v>
      </c>
      <c r="H59" s="99">
        <v>55707.38</v>
      </c>
      <c r="I59" s="99">
        <v>63188.76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f>C59+E59+G59+J59+L59+N59+MSMEoutstanding_5!M59+OutstandingAgri_4!K59</f>
        <v>329797</v>
      </c>
      <c r="Q59" s="99">
        <f>O59+M59+K59+H59+F59+D59+MSMEoutstanding_5!N59+OutstandingAgri_4!L59</f>
        <v>385332.64</v>
      </c>
      <c r="R59" s="100">
        <f>Q59*100/'CD Ratio_3(i)'!F59</f>
        <v>91.050414925993834</v>
      </c>
    </row>
    <row r="60" spans="1:18" s="108" customFormat="1" x14ac:dyDescent="0.2">
      <c r="A60" s="356"/>
      <c r="B60" s="60" t="s">
        <v>295</v>
      </c>
      <c r="C60" s="106">
        <f>SUM(C57:C59)</f>
        <v>0</v>
      </c>
      <c r="D60" s="106">
        <f t="shared" ref="D60:O60" si="2">SUM(D57:D59)</f>
        <v>0</v>
      </c>
      <c r="E60" s="106">
        <f t="shared" si="2"/>
        <v>3912</v>
      </c>
      <c r="F60" s="106">
        <f t="shared" si="2"/>
        <v>8498.48</v>
      </c>
      <c r="G60" s="106">
        <f t="shared" si="2"/>
        <v>263469</v>
      </c>
      <c r="H60" s="106">
        <f t="shared" si="2"/>
        <v>179292.46</v>
      </c>
      <c r="I60" s="106">
        <v>184164.31</v>
      </c>
      <c r="J60" s="106">
        <f t="shared" si="2"/>
        <v>0</v>
      </c>
      <c r="K60" s="106">
        <f t="shared" si="2"/>
        <v>0</v>
      </c>
      <c r="L60" s="106">
        <f t="shared" si="2"/>
        <v>824</v>
      </c>
      <c r="M60" s="106">
        <f t="shared" si="2"/>
        <v>170.54</v>
      </c>
      <c r="N60" s="106">
        <f t="shared" si="2"/>
        <v>84051</v>
      </c>
      <c r="O60" s="106">
        <f t="shared" si="2"/>
        <v>7649.75</v>
      </c>
      <c r="P60" s="106">
        <f>C60+E60+G60+J60+L60+N60+MSMEoutstanding_5!M60+OutstandingAgri_4!K60</f>
        <v>1094126</v>
      </c>
      <c r="Q60" s="106">
        <f>O60+M60+K60+H60+F60+D60+MSMEoutstanding_5!N60+OutstandingAgri_4!L60</f>
        <v>962605.59</v>
      </c>
      <c r="R60" s="97">
        <f>Q60*100/'CD Ratio_3(i)'!F60</f>
        <v>90.861050229086317</v>
      </c>
    </row>
    <row r="61" spans="1:18" x14ac:dyDescent="0.2">
      <c r="A61" s="57">
        <v>51</v>
      </c>
      <c r="B61" s="58" t="s">
        <v>290</v>
      </c>
      <c r="C61" s="99">
        <v>0</v>
      </c>
      <c r="D61" s="232">
        <v>0</v>
      </c>
      <c r="E61" s="232">
        <v>0</v>
      </c>
      <c r="F61" s="232">
        <v>0</v>
      </c>
      <c r="G61" s="232">
        <v>0</v>
      </c>
      <c r="H61" s="232">
        <v>0</v>
      </c>
      <c r="I61" s="232">
        <v>30666.67</v>
      </c>
      <c r="J61" s="232">
        <v>0</v>
      </c>
      <c r="K61" s="232">
        <v>0</v>
      </c>
      <c r="L61" s="232">
        <v>0</v>
      </c>
      <c r="M61" s="232">
        <v>0</v>
      </c>
      <c r="N61" s="232">
        <v>0</v>
      </c>
      <c r="O61" s="232">
        <v>0</v>
      </c>
      <c r="P61" s="99">
        <f>C61+E61+G61+J61+L61+N61+MSMEoutstanding_5!M61+OutstandingAgri_4!K61</f>
        <v>5686238</v>
      </c>
      <c r="Q61" s="99">
        <f>O61+M61+K61+H61+F61+D61+MSMEoutstanding_5!N61+OutstandingAgri_4!L61</f>
        <v>2414164</v>
      </c>
      <c r="R61" s="100">
        <f>Q61*100/'CD Ratio_3(i)'!F61</f>
        <v>100</v>
      </c>
    </row>
    <row r="62" spans="1:18" s="108" customFormat="1" x14ac:dyDescent="0.2">
      <c r="A62" s="356"/>
      <c r="B62" s="60" t="s">
        <v>291</v>
      </c>
      <c r="C62" s="106">
        <f>C61</f>
        <v>0</v>
      </c>
      <c r="D62" s="106">
        <f t="shared" ref="D62:O62" si="3">D61</f>
        <v>0</v>
      </c>
      <c r="E62" s="106">
        <f t="shared" si="3"/>
        <v>0</v>
      </c>
      <c r="F62" s="106">
        <f t="shared" si="3"/>
        <v>0</v>
      </c>
      <c r="G62" s="106">
        <f t="shared" si="3"/>
        <v>0</v>
      </c>
      <c r="H62" s="106">
        <f t="shared" si="3"/>
        <v>0</v>
      </c>
      <c r="I62" s="106">
        <v>30666.67</v>
      </c>
      <c r="J62" s="106">
        <f t="shared" si="3"/>
        <v>0</v>
      </c>
      <c r="K62" s="106">
        <f t="shared" si="3"/>
        <v>0</v>
      </c>
      <c r="L62" s="106">
        <f t="shared" si="3"/>
        <v>0</v>
      </c>
      <c r="M62" s="106">
        <f t="shared" si="3"/>
        <v>0</v>
      </c>
      <c r="N62" s="106">
        <f t="shared" si="3"/>
        <v>0</v>
      </c>
      <c r="O62" s="106">
        <f t="shared" si="3"/>
        <v>0</v>
      </c>
      <c r="P62" s="106">
        <f>C62+E62+G62+J62+L62+N62+MSMEoutstanding_5!M62+OutstandingAgri_4!K62</f>
        <v>5686238</v>
      </c>
      <c r="Q62" s="106">
        <f>O62+M62+K62+H62+F62+D62+MSMEoutstanding_5!N62+OutstandingAgri_4!L62</f>
        <v>2414164</v>
      </c>
      <c r="R62" s="97">
        <f>Q62*100/'CD Ratio_3(i)'!F62</f>
        <v>100</v>
      </c>
    </row>
    <row r="63" spans="1:18" s="108" customFormat="1" x14ac:dyDescent="0.2">
      <c r="A63" s="356"/>
      <c r="B63" s="60" t="s">
        <v>292</v>
      </c>
      <c r="C63" s="106">
        <f>C62+C60+C56+C33</f>
        <v>50</v>
      </c>
      <c r="D63" s="106">
        <f t="shared" ref="D63:O63" si="4">D62+D60+D56+D33</f>
        <v>19305</v>
      </c>
      <c r="E63" s="106">
        <f t="shared" si="4"/>
        <v>81251</v>
      </c>
      <c r="F63" s="106">
        <f t="shared" si="4"/>
        <v>187682.80000000002</v>
      </c>
      <c r="G63" s="106">
        <f t="shared" si="4"/>
        <v>754513</v>
      </c>
      <c r="H63" s="106">
        <f t="shared" si="4"/>
        <v>1878214.21</v>
      </c>
      <c r="I63" s="106">
        <v>1873188.78</v>
      </c>
      <c r="J63" s="106">
        <f t="shared" si="4"/>
        <v>1090</v>
      </c>
      <c r="K63" s="106">
        <f t="shared" si="4"/>
        <v>13646.79</v>
      </c>
      <c r="L63" s="106">
        <f t="shared" si="4"/>
        <v>885</v>
      </c>
      <c r="M63" s="106">
        <f t="shared" si="4"/>
        <v>67670.489999999991</v>
      </c>
      <c r="N63" s="106">
        <f t="shared" si="4"/>
        <v>415517</v>
      </c>
      <c r="O63" s="106">
        <f t="shared" si="4"/>
        <v>253170.59</v>
      </c>
      <c r="P63" s="106">
        <f>C63+E63+G63+J63+L63+N63+MSMEoutstanding_5!M63+OutstandingAgri_4!K63</f>
        <v>11299669</v>
      </c>
      <c r="Q63" s="106">
        <f>O63+M63+K63+H63+F63+D63+MSMEoutstanding_5!N63+OutstandingAgri_4!L63</f>
        <v>14310880.27</v>
      </c>
      <c r="R63" s="97">
        <f>Q63*100/'CD Ratio_3(i)'!F63</f>
        <v>64.486190414395608</v>
      </c>
    </row>
    <row r="64" spans="1:18" hidden="1" x14ac:dyDescent="0.2">
      <c r="A64" s="61"/>
    </row>
    <row r="65" spans="3:18" hidden="1" x14ac:dyDescent="0.2">
      <c r="C65" s="111">
        <v>23</v>
      </c>
      <c r="D65" s="111">
        <v>10380</v>
      </c>
      <c r="E65" s="111">
        <v>87969</v>
      </c>
      <c r="F65" s="111">
        <v>204425.03999999998</v>
      </c>
      <c r="G65" s="111">
        <v>830043</v>
      </c>
      <c r="H65" s="111">
        <v>1873188.78</v>
      </c>
      <c r="J65" s="111">
        <v>1125</v>
      </c>
      <c r="K65" s="111">
        <v>13902.529999999999</v>
      </c>
      <c r="L65" s="111">
        <v>911</v>
      </c>
      <c r="M65" s="111">
        <v>66644.460000000006</v>
      </c>
      <c r="N65" s="111">
        <v>294592</v>
      </c>
      <c r="O65" s="111">
        <v>337167.75</v>
      </c>
      <c r="P65" s="111">
        <v>11069511</v>
      </c>
      <c r="Q65" s="111">
        <v>13874612.982609699</v>
      </c>
      <c r="R65" s="109">
        <v>63.054263636619588</v>
      </c>
    </row>
    <row r="66" spans="3:18" hidden="1" x14ac:dyDescent="0.2"/>
    <row r="67" spans="3:18" s="108" customFormat="1" hidden="1" x14ac:dyDescent="0.2">
      <c r="C67" s="112"/>
      <c r="D67" s="112">
        <f t="shared" ref="D67:R67" si="5">D63-D65</f>
        <v>8925</v>
      </c>
      <c r="E67" s="112"/>
      <c r="F67" s="112">
        <f t="shared" si="5"/>
        <v>-16742.239999999962</v>
      </c>
      <c r="G67" s="112"/>
      <c r="H67" s="112">
        <f t="shared" si="5"/>
        <v>5025.4299999999348</v>
      </c>
      <c r="I67" s="112"/>
      <c r="J67" s="112"/>
      <c r="K67" s="112">
        <f t="shared" si="5"/>
        <v>-255.73999999999796</v>
      </c>
      <c r="L67" s="112"/>
      <c r="M67" s="112">
        <f t="shared" si="5"/>
        <v>1026.0299999999843</v>
      </c>
      <c r="N67" s="112"/>
      <c r="O67" s="112">
        <f t="shared" si="5"/>
        <v>-83997.16</v>
      </c>
      <c r="P67" s="112"/>
      <c r="Q67" s="112">
        <f t="shared" si="5"/>
        <v>436267.287390301</v>
      </c>
      <c r="R67" s="112">
        <f t="shared" si="5"/>
        <v>1.4319267777760203</v>
      </c>
    </row>
    <row r="68" spans="3:18" hidden="1" x14ac:dyDescent="0.2"/>
    <row r="69" spans="3:18" hidden="1" x14ac:dyDescent="0.2"/>
    <row r="70" spans="3:18" hidden="1" x14ac:dyDescent="0.2">
      <c r="F70" s="111">
        <f>NPS_OS_8!N63</f>
        <v>35070.86</v>
      </c>
    </row>
    <row r="71" spans="3:18" hidden="1" x14ac:dyDescent="0.2"/>
    <row r="72" spans="3:18" hidden="1" x14ac:dyDescent="0.2">
      <c r="F72" s="111">
        <f>F63+F70</f>
        <v>222753.66000000003</v>
      </c>
      <c r="J72" s="111">
        <f>NPS_OS_8!M63</f>
        <v>3637</v>
      </c>
    </row>
    <row r="73" spans="3:18" hidden="1" x14ac:dyDescent="0.2">
      <c r="F73" s="111">
        <f>F72/100</f>
        <v>2227.5366000000004</v>
      </c>
      <c r="J73" s="111">
        <f>E63+J72</f>
        <v>84888</v>
      </c>
    </row>
    <row r="74" spans="3:18" hidden="1" x14ac:dyDescent="0.2"/>
  </sheetData>
  <mergeCells count="12">
    <mergeCell ref="R3:R5"/>
    <mergeCell ref="N4:O4"/>
    <mergeCell ref="P4:Q4"/>
    <mergeCell ref="A1:Q1"/>
    <mergeCell ref="A3:A5"/>
    <mergeCell ref="B3:B5"/>
    <mergeCell ref="C3:Q3"/>
    <mergeCell ref="C4:D4"/>
    <mergeCell ref="E4:F4"/>
    <mergeCell ref="G4:H4"/>
    <mergeCell ref="J4:K4"/>
    <mergeCell ref="L4:M4"/>
  </mergeCells>
  <conditionalFormatting sqref="B6">
    <cfRule type="duplicateValues" dxfId="179" priority="14"/>
  </conditionalFormatting>
  <conditionalFormatting sqref="B22">
    <cfRule type="duplicateValues" dxfId="178" priority="15"/>
  </conditionalFormatting>
  <conditionalFormatting sqref="B33:B34 B26:B30">
    <cfRule type="duplicateValues" dxfId="177" priority="16"/>
  </conditionalFormatting>
  <conditionalFormatting sqref="B52">
    <cfRule type="duplicateValues" dxfId="176" priority="17"/>
  </conditionalFormatting>
  <conditionalFormatting sqref="B56">
    <cfRule type="duplicateValues" dxfId="175" priority="18"/>
  </conditionalFormatting>
  <conditionalFormatting sqref="B58">
    <cfRule type="duplicateValues" dxfId="174" priority="19"/>
  </conditionalFormatting>
  <conditionalFormatting sqref="R1:R66 R68:R1048576">
    <cfRule type="cellIs" dxfId="173" priority="5" operator="lessThan">
      <formula>40</formula>
    </cfRule>
    <cfRule type="cellIs" dxfId="172" priority="6" operator="greaterThan">
      <formula>100</formula>
    </cfRule>
    <cfRule type="cellIs" dxfId="171" priority="7" operator="greaterThan">
      <formula>100</formula>
    </cfRule>
  </conditionalFormatting>
  <conditionalFormatting sqref="R1:R1048576">
    <cfRule type="cellIs" dxfId="170" priority="2" operator="greaterThan">
      <formula>100</formula>
    </cfRule>
    <cfRule type="cellIs" dxfId="169" priority="3" operator="greaterThan">
      <formula>100</formula>
    </cfRule>
    <cfRule type="cellIs" dxfId="168" priority="4" operator="greaterThan">
      <formula>100</formula>
    </cfRule>
  </conditionalFormatting>
  <pageMargins left="0.25" right="0.25" top="0.5" bottom="0.5" header="0.3" footer="0.3"/>
  <pageSetup paperSize="9" scale="64" orientation="portrait" r:id="rId1"/>
  <headerFooter>
    <oddFooter>&amp;CData Table, State Level Banker's Committee, M.P. as on 31.12.2016 Page No. 80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66"/>
  <sheetViews>
    <sheetView view="pageBreakPreview" topLeftCell="A37" zoomScale="60" zoomScaleNormal="100" workbookViewId="0">
      <selection activeCell="I70" sqref="I70"/>
    </sheetView>
  </sheetViews>
  <sheetFormatPr defaultColWidth="4.42578125" defaultRowHeight="13.5" x14ac:dyDescent="0.2"/>
  <cols>
    <col min="1" max="1" width="4.42578125" style="62"/>
    <col min="2" max="2" width="22.5703125" style="62" customWidth="1"/>
    <col min="3" max="3" width="8.42578125" style="111" customWidth="1"/>
    <col min="4" max="4" width="10.28515625" style="111" bestFit="1" customWidth="1"/>
    <col min="5" max="5" width="8.42578125" style="111" customWidth="1"/>
    <col min="6" max="6" width="9" style="111" customWidth="1"/>
    <col min="7" max="7" width="8.85546875" style="111" customWidth="1"/>
    <col min="8" max="8" width="8" style="111" customWidth="1"/>
    <col min="9" max="9" width="7.85546875" style="111" customWidth="1"/>
    <col min="10" max="10" width="8" style="111" customWidth="1"/>
    <col min="11" max="11" width="8.28515625" style="111" customWidth="1"/>
    <col min="12" max="12" width="7.7109375" style="111" customWidth="1"/>
    <col min="13" max="13" width="7.42578125" style="111" customWidth="1"/>
    <col min="14" max="14" width="7.140625" style="111" customWidth="1"/>
    <col min="15" max="16" width="7.7109375" style="111" customWidth="1"/>
    <col min="17" max="17" width="8.140625" style="111" customWidth="1"/>
    <col min="18" max="18" width="8.7109375" style="111" customWidth="1"/>
    <col min="19" max="19" width="10.140625" style="109" customWidth="1"/>
    <col min="20" max="20" width="4.7109375" style="62" hidden="1" customWidth="1"/>
    <col min="21" max="21" width="11" style="111" hidden="1" customWidth="1"/>
    <col min="22" max="22" width="0" style="62" hidden="1" customWidth="1"/>
    <col min="23" max="23" width="9.85546875" style="62" hidden="1" customWidth="1"/>
    <col min="24" max="24" width="0" style="62" hidden="1" customWidth="1"/>
    <col min="25" max="16384" width="4.42578125" style="62"/>
  </cols>
  <sheetData>
    <row r="1" spans="1:23" ht="18.75" x14ac:dyDescent="0.2">
      <c r="A1" s="477" t="s">
        <v>462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</row>
    <row r="2" spans="1:23" x14ac:dyDescent="0.2">
      <c r="B2" s="108" t="s">
        <v>134</v>
      </c>
      <c r="I2" s="111" t="s">
        <v>142</v>
      </c>
      <c r="L2" s="112" t="s">
        <v>144</v>
      </c>
    </row>
    <row r="3" spans="1:23" ht="13.5" customHeight="1" x14ac:dyDescent="0.2">
      <c r="A3" s="478" t="s">
        <v>120</v>
      </c>
      <c r="B3" s="478" t="s">
        <v>100</v>
      </c>
      <c r="C3" s="483" t="s">
        <v>355</v>
      </c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234">
        <v>0.1</v>
      </c>
    </row>
    <row r="4" spans="1:23" ht="75" customHeight="1" x14ac:dyDescent="0.2">
      <c r="A4" s="478"/>
      <c r="B4" s="478"/>
      <c r="C4" s="479" t="s">
        <v>145</v>
      </c>
      <c r="D4" s="479"/>
      <c r="E4" s="479" t="s">
        <v>146</v>
      </c>
      <c r="F4" s="479"/>
      <c r="G4" s="479" t="s">
        <v>147</v>
      </c>
      <c r="H4" s="479"/>
      <c r="I4" s="479" t="s">
        <v>148</v>
      </c>
      <c r="J4" s="479"/>
      <c r="K4" s="479" t="s">
        <v>149</v>
      </c>
      <c r="L4" s="479"/>
      <c r="M4" s="479" t="s">
        <v>150</v>
      </c>
      <c r="N4" s="479"/>
      <c r="O4" s="479" t="s">
        <v>205</v>
      </c>
      <c r="P4" s="479"/>
      <c r="Q4" s="479" t="s">
        <v>151</v>
      </c>
      <c r="R4" s="479"/>
      <c r="S4" s="113" t="s">
        <v>270</v>
      </c>
    </row>
    <row r="5" spans="1:23" x14ac:dyDescent="0.2">
      <c r="A5" s="478"/>
      <c r="B5" s="478"/>
      <c r="C5" s="318" t="s">
        <v>264</v>
      </c>
      <c r="D5" s="318" t="s">
        <v>263</v>
      </c>
      <c r="E5" s="318" t="s">
        <v>264</v>
      </c>
      <c r="F5" s="318" t="s">
        <v>263</v>
      </c>
      <c r="G5" s="318" t="s">
        <v>264</v>
      </c>
      <c r="H5" s="318" t="s">
        <v>263</v>
      </c>
      <c r="I5" s="318" t="s">
        <v>264</v>
      </c>
      <c r="J5" s="318" t="s">
        <v>263</v>
      </c>
      <c r="K5" s="318" t="s">
        <v>264</v>
      </c>
      <c r="L5" s="318" t="s">
        <v>263</v>
      </c>
      <c r="M5" s="318" t="s">
        <v>264</v>
      </c>
      <c r="N5" s="318" t="s">
        <v>263</v>
      </c>
      <c r="O5" s="318" t="s">
        <v>264</v>
      </c>
      <c r="P5" s="318" t="s">
        <v>263</v>
      </c>
      <c r="Q5" s="318" t="s">
        <v>264</v>
      </c>
      <c r="R5" s="318" t="s">
        <v>263</v>
      </c>
      <c r="S5" s="110" t="s">
        <v>17</v>
      </c>
    </row>
    <row r="6" spans="1:23" ht="15" customHeight="1" x14ac:dyDescent="0.2">
      <c r="A6" s="57">
        <v>1</v>
      </c>
      <c r="B6" s="98" t="s">
        <v>55</v>
      </c>
      <c r="C6" s="99">
        <v>79124</v>
      </c>
      <c r="D6" s="99">
        <v>169939</v>
      </c>
      <c r="E6" s="99">
        <v>41118</v>
      </c>
      <c r="F6" s="99">
        <v>99254</v>
      </c>
      <c r="G6" s="99">
        <v>1546</v>
      </c>
      <c r="H6" s="99">
        <v>774</v>
      </c>
      <c r="I6" s="99">
        <v>19016</v>
      </c>
      <c r="J6" s="99">
        <v>52687</v>
      </c>
      <c r="K6" s="99">
        <v>1289</v>
      </c>
      <c r="L6" s="99">
        <v>4</v>
      </c>
      <c r="M6" s="99">
        <v>258</v>
      </c>
      <c r="N6" s="99">
        <v>31</v>
      </c>
      <c r="O6" s="99">
        <v>2276</v>
      </c>
      <c r="P6" s="99">
        <v>6824</v>
      </c>
      <c r="Q6" s="99">
        <f t="shared" ref="Q6:Q32" si="0">C6+E6+G6+I6+K6+M6+O6</f>
        <v>144627</v>
      </c>
      <c r="R6" s="99">
        <f t="shared" ref="R6:R32" si="1">D6+F6+H6+J6+L6+N6+P6</f>
        <v>329513</v>
      </c>
      <c r="S6" s="114">
        <f>R6*100/'CD Ratio_3(i)'!F6</f>
        <v>45.692649666990683</v>
      </c>
      <c r="U6" s="111">
        <v>329513</v>
      </c>
      <c r="W6" s="111">
        <f t="shared" ref="W6:W37" si="2">U6-R6</f>
        <v>0</v>
      </c>
    </row>
    <row r="7" spans="1:23" ht="15" customHeight="1" x14ac:dyDescent="0.2">
      <c r="A7" s="57">
        <v>2</v>
      </c>
      <c r="B7" s="98" t="s">
        <v>56</v>
      </c>
      <c r="C7" s="99">
        <v>145</v>
      </c>
      <c r="D7" s="99">
        <v>111.45</v>
      </c>
      <c r="E7" s="99">
        <v>476</v>
      </c>
      <c r="F7" s="99">
        <v>1038.27</v>
      </c>
      <c r="G7" s="99">
        <v>0</v>
      </c>
      <c r="H7" s="99">
        <v>0</v>
      </c>
      <c r="I7" s="99">
        <v>710</v>
      </c>
      <c r="J7" s="99">
        <v>3185.48</v>
      </c>
      <c r="K7" s="99">
        <v>315</v>
      </c>
      <c r="L7" s="99">
        <v>4.33</v>
      </c>
      <c r="M7" s="99">
        <v>10</v>
      </c>
      <c r="N7" s="99">
        <v>0.85</v>
      </c>
      <c r="O7" s="99">
        <v>0</v>
      </c>
      <c r="P7" s="99">
        <v>0</v>
      </c>
      <c r="Q7" s="99">
        <f t="shared" si="0"/>
        <v>1656</v>
      </c>
      <c r="R7" s="99">
        <f t="shared" si="1"/>
        <v>4340.38</v>
      </c>
      <c r="S7" s="114">
        <f>R7*100/'CD Ratio_3(i)'!F7</f>
        <v>6.8028709990787144</v>
      </c>
      <c r="U7" s="111">
        <v>4340.38</v>
      </c>
      <c r="W7" s="111">
        <f t="shared" si="2"/>
        <v>0</v>
      </c>
    </row>
    <row r="8" spans="1:23" ht="15" customHeight="1" x14ac:dyDescent="0.2">
      <c r="A8" s="57">
        <v>3</v>
      </c>
      <c r="B8" s="98" t="s">
        <v>57</v>
      </c>
      <c r="C8" s="99">
        <v>39657</v>
      </c>
      <c r="D8" s="99">
        <v>60753</v>
      </c>
      <c r="E8" s="99">
        <v>21482</v>
      </c>
      <c r="F8" s="99">
        <v>22224</v>
      </c>
      <c r="G8" s="99">
        <v>682</v>
      </c>
      <c r="H8" s="99">
        <v>888</v>
      </c>
      <c r="I8" s="99">
        <v>7781</v>
      </c>
      <c r="J8" s="99">
        <v>99139</v>
      </c>
      <c r="K8" s="99">
        <v>6212</v>
      </c>
      <c r="L8" s="99">
        <v>112</v>
      </c>
      <c r="M8" s="99">
        <v>49</v>
      </c>
      <c r="N8" s="99">
        <v>326</v>
      </c>
      <c r="O8" s="99">
        <v>87</v>
      </c>
      <c r="P8" s="99">
        <v>33</v>
      </c>
      <c r="Q8" s="99">
        <f t="shared" si="0"/>
        <v>75950</v>
      </c>
      <c r="R8" s="99">
        <f t="shared" si="1"/>
        <v>183475</v>
      </c>
      <c r="S8" s="114">
        <f>R8*100/'CD Ratio_3(i)'!F8</f>
        <v>26.558824593782795</v>
      </c>
      <c r="U8" s="111">
        <v>183475</v>
      </c>
      <c r="W8" s="111">
        <f t="shared" si="2"/>
        <v>0</v>
      </c>
    </row>
    <row r="9" spans="1:23" ht="15" customHeight="1" x14ac:dyDescent="0.2">
      <c r="A9" s="57">
        <v>4</v>
      </c>
      <c r="B9" s="98" t="s">
        <v>58</v>
      </c>
      <c r="C9" s="99">
        <v>293092</v>
      </c>
      <c r="D9" s="99">
        <v>432411</v>
      </c>
      <c r="E9" s="99">
        <v>270765</v>
      </c>
      <c r="F9" s="99">
        <v>478836</v>
      </c>
      <c r="G9" s="99">
        <v>2558</v>
      </c>
      <c r="H9" s="99">
        <v>2598</v>
      </c>
      <c r="I9" s="99">
        <v>18955</v>
      </c>
      <c r="J9" s="99">
        <v>52733</v>
      </c>
      <c r="K9" s="99">
        <v>7808</v>
      </c>
      <c r="L9" s="99">
        <v>204</v>
      </c>
      <c r="M9" s="99">
        <v>41</v>
      </c>
      <c r="N9" s="99">
        <v>17</v>
      </c>
      <c r="O9" s="99">
        <v>153</v>
      </c>
      <c r="P9" s="99">
        <v>57</v>
      </c>
      <c r="Q9" s="99">
        <f t="shared" si="0"/>
        <v>593372</v>
      </c>
      <c r="R9" s="99">
        <f t="shared" si="1"/>
        <v>966856</v>
      </c>
      <c r="S9" s="114">
        <f>R9*100/'CD Ratio_3(i)'!F9</f>
        <v>55.456702628075597</v>
      </c>
      <c r="U9" s="111">
        <v>966856</v>
      </c>
      <c r="W9" s="111">
        <f t="shared" si="2"/>
        <v>0</v>
      </c>
    </row>
    <row r="10" spans="1:23" ht="15" customHeight="1" x14ac:dyDescent="0.2">
      <c r="A10" s="57">
        <v>5</v>
      </c>
      <c r="B10" s="98" t="s">
        <v>59</v>
      </c>
      <c r="C10" s="99">
        <v>31456</v>
      </c>
      <c r="D10" s="99">
        <v>48123</v>
      </c>
      <c r="E10" s="99">
        <v>25612</v>
      </c>
      <c r="F10" s="99">
        <v>39595</v>
      </c>
      <c r="G10" s="99">
        <v>645</v>
      </c>
      <c r="H10" s="99">
        <v>613</v>
      </c>
      <c r="I10" s="99">
        <v>8936</v>
      </c>
      <c r="J10" s="99">
        <v>22385</v>
      </c>
      <c r="K10" s="99">
        <v>319</v>
      </c>
      <c r="L10" s="99">
        <v>258</v>
      </c>
      <c r="M10" s="99">
        <v>71</v>
      </c>
      <c r="N10" s="99">
        <v>49</v>
      </c>
      <c r="O10" s="99">
        <v>1048</v>
      </c>
      <c r="P10" s="99">
        <v>603</v>
      </c>
      <c r="Q10" s="99">
        <f t="shared" si="0"/>
        <v>68087</v>
      </c>
      <c r="R10" s="99">
        <f t="shared" si="1"/>
        <v>111626</v>
      </c>
      <c r="S10" s="114">
        <f>R10*100/'CD Ratio_3(i)'!F10</f>
        <v>37.516804689180468</v>
      </c>
      <c r="U10" s="111">
        <v>111626</v>
      </c>
      <c r="W10" s="111">
        <f t="shared" si="2"/>
        <v>0</v>
      </c>
    </row>
    <row r="11" spans="1:23" ht="15" customHeight="1" x14ac:dyDescent="0.2">
      <c r="A11" s="57">
        <v>6</v>
      </c>
      <c r="B11" s="101" t="s">
        <v>242</v>
      </c>
      <c r="C11" s="99">
        <v>0</v>
      </c>
      <c r="D11" s="99">
        <v>0</v>
      </c>
      <c r="E11" s="99">
        <v>47</v>
      </c>
      <c r="F11" s="99">
        <v>57.8</v>
      </c>
      <c r="G11" s="99">
        <v>21</v>
      </c>
      <c r="H11" s="99">
        <v>26.8</v>
      </c>
      <c r="I11" s="99">
        <v>45</v>
      </c>
      <c r="J11" s="99">
        <v>60.49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f t="shared" si="0"/>
        <v>113</v>
      </c>
      <c r="R11" s="99">
        <f t="shared" si="1"/>
        <v>145.09</v>
      </c>
      <c r="S11" s="114">
        <f>R11*100/'CD Ratio_3(i)'!F11</f>
        <v>22.185015290519878</v>
      </c>
      <c r="U11" s="111">
        <v>145.09</v>
      </c>
      <c r="W11" s="111">
        <f t="shared" si="2"/>
        <v>0</v>
      </c>
    </row>
    <row r="12" spans="1:23" ht="15" customHeight="1" x14ac:dyDescent="0.2">
      <c r="A12" s="57">
        <v>7</v>
      </c>
      <c r="B12" s="98" t="s">
        <v>60</v>
      </c>
      <c r="C12" s="99">
        <v>21577</v>
      </c>
      <c r="D12" s="99">
        <v>45034</v>
      </c>
      <c r="E12" s="99">
        <v>6611</v>
      </c>
      <c r="F12" s="99">
        <v>12631</v>
      </c>
      <c r="G12" s="99">
        <v>58</v>
      </c>
      <c r="H12" s="99">
        <v>63</v>
      </c>
      <c r="I12" s="99">
        <v>12229</v>
      </c>
      <c r="J12" s="99">
        <v>31991</v>
      </c>
      <c r="K12" s="99">
        <v>7059</v>
      </c>
      <c r="L12" s="99">
        <v>86</v>
      </c>
      <c r="M12" s="99">
        <v>2621</v>
      </c>
      <c r="N12" s="99">
        <v>257</v>
      </c>
      <c r="O12" s="99">
        <v>29707</v>
      </c>
      <c r="P12" s="99">
        <v>56555</v>
      </c>
      <c r="Q12" s="99">
        <f t="shared" si="0"/>
        <v>79862</v>
      </c>
      <c r="R12" s="99">
        <f t="shared" si="1"/>
        <v>146617</v>
      </c>
      <c r="S12" s="114">
        <f>R12*100/'CD Ratio_3(i)'!F12</f>
        <v>34.979267763161033</v>
      </c>
      <c r="U12" s="111">
        <v>146617</v>
      </c>
      <c r="W12" s="111">
        <f t="shared" si="2"/>
        <v>0</v>
      </c>
    </row>
    <row r="13" spans="1:23" s="108" customFormat="1" ht="15" customHeight="1" x14ac:dyDescent="0.2">
      <c r="A13" s="57">
        <v>8</v>
      </c>
      <c r="B13" s="98" t="s">
        <v>61</v>
      </c>
      <c r="C13" s="99">
        <v>217938</v>
      </c>
      <c r="D13" s="99">
        <f>110529+215229-4556</f>
        <v>321202</v>
      </c>
      <c r="E13" s="99">
        <v>124718</v>
      </c>
      <c r="F13" s="99">
        <v>61495</v>
      </c>
      <c r="G13" s="99">
        <v>6801</v>
      </c>
      <c r="H13" s="99">
        <v>3574</v>
      </c>
      <c r="I13" s="99">
        <v>25944</v>
      </c>
      <c r="J13" s="99">
        <v>21526</v>
      </c>
      <c r="K13" s="99">
        <v>4664</v>
      </c>
      <c r="L13" s="99">
        <v>101</v>
      </c>
      <c r="M13" s="99">
        <v>1216</v>
      </c>
      <c r="N13" s="99">
        <v>104</v>
      </c>
      <c r="O13" s="99">
        <v>0</v>
      </c>
      <c r="P13" s="99">
        <v>0</v>
      </c>
      <c r="Q13" s="99">
        <f t="shared" si="0"/>
        <v>381281</v>
      </c>
      <c r="R13" s="99">
        <f t="shared" si="1"/>
        <v>408002</v>
      </c>
      <c r="S13" s="114">
        <f>R13*100/'CD Ratio_3(i)'!F13</f>
        <v>34.364255958547474</v>
      </c>
      <c r="U13" s="112">
        <v>408002</v>
      </c>
      <c r="W13" s="111">
        <f t="shared" si="2"/>
        <v>0</v>
      </c>
    </row>
    <row r="14" spans="1:23" ht="15" customHeight="1" x14ac:dyDescent="0.2">
      <c r="A14" s="57">
        <v>9</v>
      </c>
      <c r="B14" s="98" t="s">
        <v>48</v>
      </c>
      <c r="C14" s="99">
        <v>3500</v>
      </c>
      <c r="D14" s="99">
        <v>57</v>
      </c>
      <c r="E14" s="99">
        <v>2247</v>
      </c>
      <c r="F14" s="99">
        <v>6332.05</v>
      </c>
      <c r="G14" s="99">
        <v>132</v>
      </c>
      <c r="H14" s="99">
        <v>20</v>
      </c>
      <c r="I14" s="99">
        <v>1845</v>
      </c>
      <c r="J14" s="99">
        <v>8118.66</v>
      </c>
      <c r="K14" s="99">
        <v>0</v>
      </c>
      <c r="L14" s="99">
        <v>0</v>
      </c>
      <c r="M14" s="99">
        <v>4</v>
      </c>
      <c r="N14" s="99">
        <v>4</v>
      </c>
      <c r="O14" s="99">
        <v>250</v>
      </c>
      <c r="P14" s="99">
        <v>125</v>
      </c>
      <c r="Q14" s="99">
        <f t="shared" si="0"/>
        <v>7978</v>
      </c>
      <c r="R14" s="99">
        <f t="shared" si="1"/>
        <v>14656.71</v>
      </c>
      <c r="S14" s="114">
        <f>R14*100/'CD Ratio_3(i)'!F14</f>
        <v>8.8337602536207864</v>
      </c>
      <c r="U14" s="111">
        <v>14656.71</v>
      </c>
      <c r="W14" s="111">
        <f t="shared" si="2"/>
        <v>0</v>
      </c>
    </row>
    <row r="15" spans="1:23" ht="15" customHeight="1" x14ac:dyDescent="0.2">
      <c r="A15" s="57">
        <v>10</v>
      </c>
      <c r="B15" s="98" t="s">
        <v>49</v>
      </c>
      <c r="C15" s="99">
        <v>7271</v>
      </c>
      <c r="D15" s="99">
        <v>10279</v>
      </c>
      <c r="E15" s="99">
        <v>4427</v>
      </c>
      <c r="F15" s="99">
        <v>4544</v>
      </c>
      <c r="G15" s="99">
        <v>83</v>
      </c>
      <c r="H15" s="99">
        <v>74</v>
      </c>
      <c r="I15" s="99">
        <v>2921</v>
      </c>
      <c r="J15" s="99">
        <v>6691</v>
      </c>
      <c r="K15" s="99">
        <v>1632</v>
      </c>
      <c r="L15" s="99">
        <v>10</v>
      </c>
      <c r="M15" s="99">
        <v>1</v>
      </c>
      <c r="N15" s="99">
        <v>1</v>
      </c>
      <c r="O15" s="99">
        <v>0</v>
      </c>
      <c r="P15" s="99">
        <v>0</v>
      </c>
      <c r="Q15" s="99">
        <f t="shared" si="0"/>
        <v>16335</v>
      </c>
      <c r="R15" s="99">
        <f t="shared" si="1"/>
        <v>21599</v>
      </c>
      <c r="S15" s="114">
        <f>R15*100/'CD Ratio_3(i)'!F15</f>
        <v>14.22887145332253</v>
      </c>
      <c r="U15" s="111">
        <v>21599</v>
      </c>
      <c r="W15" s="111">
        <f t="shared" si="2"/>
        <v>0</v>
      </c>
    </row>
    <row r="16" spans="1:23" ht="15" customHeight="1" x14ac:dyDescent="0.2">
      <c r="A16" s="57">
        <v>11</v>
      </c>
      <c r="B16" s="98" t="s">
        <v>81</v>
      </c>
      <c r="C16" s="99">
        <v>22474</v>
      </c>
      <c r="D16" s="99">
        <v>28632</v>
      </c>
      <c r="E16" s="99">
        <v>1495</v>
      </c>
      <c r="F16" s="99">
        <v>3675</v>
      </c>
      <c r="G16" s="99">
        <v>25</v>
      </c>
      <c r="H16" s="99">
        <v>40</v>
      </c>
      <c r="I16" s="99">
        <v>6665</v>
      </c>
      <c r="J16" s="99">
        <v>29654.05</v>
      </c>
      <c r="K16" s="99">
        <v>18</v>
      </c>
      <c r="L16" s="99">
        <v>0.5</v>
      </c>
      <c r="M16" s="99">
        <v>0</v>
      </c>
      <c r="N16" s="99">
        <v>0</v>
      </c>
      <c r="O16" s="99">
        <v>14752</v>
      </c>
      <c r="P16" s="99">
        <v>2977</v>
      </c>
      <c r="Q16" s="99">
        <f t="shared" si="0"/>
        <v>45429</v>
      </c>
      <c r="R16" s="99">
        <f t="shared" si="1"/>
        <v>64978.55</v>
      </c>
      <c r="S16" s="114">
        <f>R16*100/'CD Ratio_3(i)'!F16</f>
        <v>17.931943746860874</v>
      </c>
      <c r="U16" s="111">
        <v>64978.55</v>
      </c>
      <c r="W16" s="111">
        <f t="shared" si="2"/>
        <v>0</v>
      </c>
    </row>
    <row r="17" spans="1:23" ht="15" customHeight="1" x14ac:dyDescent="0.2">
      <c r="A17" s="57">
        <v>12</v>
      </c>
      <c r="B17" s="98" t="s">
        <v>62</v>
      </c>
      <c r="C17" s="99">
        <v>782</v>
      </c>
      <c r="D17" s="99">
        <v>1098</v>
      </c>
      <c r="E17" s="99">
        <v>1171</v>
      </c>
      <c r="F17" s="99">
        <v>1555</v>
      </c>
      <c r="G17" s="99">
        <v>676</v>
      </c>
      <c r="H17" s="99">
        <v>729.81</v>
      </c>
      <c r="I17" s="99">
        <v>1047</v>
      </c>
      <c r="J17" s="99">
        <v>2467.65</v>
      </c>
      <c r="K17" s="99">
        <v>162</v>
      </c>
      <c r="L17" s="99">
        <v>4.38</v>
      </c>
      <c r="M17" s="99">
        <v>623</v>
      </c>
      <c r="N17" s="99">
        <v>111</v>
      </c>
      <c r="O17" s="99">
        <v>1912</v>
      </c>
      <c r="P17" s="99">
        <v>2298</v>
      </c>
      <c r="Q17" s="99">
        <f t="shared" si="0"/>
        <v>6373</v>
      </c>
      <c r="R17" s="99">
        <f t="shared" si="1"/>
        <v>8263.84</v>
      </c>
      <c r="S17" s="114">
        <f>R17*100/'CD Ratio_3(i)'!F17</f>
        <v>23.547453853761894</v>
      </c>
      <c r="U17" s="111">
        <v>8263.84</v>
      </c>
      <c r="W17" s="111">
        <f t="shared" si="2"/>
        <v>0</v>
      </c>
    </row>
    <row r="18" spans="1:23" ht="15" customHeight="1" x14ac:dyDescent="0.2">
      <c r="A18" s="57">
        <v>13</v>
      </c>
      <c r="B18" s="98" t="s">
        <v>63</v>
      </c>
      <c r="C18" s="99">
        <v>1284</v>
      </c>
      <c r="D18" s="99">
        <v>2657</v>
      </c>
      <c r="E18" s="99">
        <v>2102</v>
      </c>
      <c r="F18" s="99">
        <v>2920</v>
      </c>
      <c r="G18" s="99">
        <v>0</v>
      </c>
      <c r="H18" s="99">
        <v>0</v>
      </c>
      <c r="I18" s="99">
        <v>555</v>
      </c>
      <c r="J18" s="99">
        <v>1035.05</v>
      </c>
      <c r="K18" s="99">
        <v>53</v>
      </c>
      <c r="L18" s="99">
        <v>0.63</v>
      </c>
      <c r="M18" s="99">
        <v>94</v>
      </c>
      <c r="N18" s="99">
        <v>6.56</v>
      </c>
      <c r="O18" s="99">
        <v>0</v>
      </c>
      <c r="P18" s="99">
        <v>0</v>
      </c>
      <c r="Q18" s="99">
        <f t="shared" si="0"/>
        <v>4088</v>
      </c>
      <c r="R18" s="99">
        <f t="shared" si="1"/>
        <v>6619.2400000000007</v>
      </c>
      <c r="S18" s="114">
        <f>R18*100/'CD Ratio_3(i)'!F18</f>
        <v>6.8530666335362582</v>
      </c>
      <c r="U18" s="111">
        <v>6619.2400000000007</v>
      </c>
      <c r="W18" s="111">
        <f t="shared" si="2"/>
        <v>0</v>
      </c>
    </row>
    <row r="19" spans="1:23" ht="15" customHeight="1" x14ac:dyDescent="0.2">
      <c r="A19" s="57">
        <v>14</v>
      </c>
      <c r="B19" s="102" t="s">
        <v>207</v>
      </c>
      <c r="C19" s="99">
        <v>8271</v>
      </c>
      <c r="D19" s="99">
        <v>16842</v>
      </c>
      <c r="E19" s="99">
        <v>4263</v>
      </c>
      <c r="F19" s="99">
        <v>9101</v>
      </c>
      <c r="G19" s="99">
        <v>51</v>
      </c>
      <c r="H19" s="99">
        <v>55.6</v>
      </c>
      <c r="I19" s="99">
        <v>2113</v>
      </c>
      <c r="J19" s="99">
        <v>5903.09</v>
      </c>
      <c r="K19" s="99">
        <v>335</v>
      </c>
      <c r="L19" s="99">
        <v>207</v>
      </c>
      <c r="M19" s="99">
        <v>13</v>
      </c>
      <c r="N19" s="99">
        <v>0.66</v>
      </c>
      <c r="O19" s="99">
        <v>1729</v>
      </c>
      <c r="P19" s="99">
        <v>2171.2600000000002</v>
      </c>
      <c r="Q19" s="99">
        <f t="shared" si="0"/>
        <v>16775</v>
      </c>
      <c r="R19" s="99">
        <f t="shared" si="1"/>
        <v>34280.61</v>
      </c>
      <c r="S19" s="114">
        <f>R19*100/'CD Ratio_3(i)'!F19</f>
        <v>15.653307330188268</v>
      </c>
      <c r="U19" s="111">
        <v>34280.61</v>
      </c>
      <c r="W19" s="111">
        <f t="shared" si="2"/>
        <v>0</v>
      </c>
    </row>
    <row r="20" spans="1:23" ht="15" customHeight="1" x14ac:dyDescent="0.2">
      <c r="A20" s="57">
        <v>15</v>
      </c>
      <c r="B20" s="98" t="s">
        <v>208</v>
      </c>
      <c r="C20" s="99">
        <v>4542</v>
      </c>
      <c r="D20" s="99">
        <v>6532</v>
      </c>
      <c r="E20" s="99">
        <v>444</v>
      </c>
      <c r="F20" s="99">
        <v>571.24</v>
      </c>
      <c r="G20" s="99">
        <v>22</v>
      </c>
      <c r="H20" s="99">
        <v>22.08</v>
      </c>
      <c r="I20" s="99">
        <v>3062</v>
      </c>
      <c r="J20" s="99">
        <v>9390</v>
      </c>
      <c r="K20" s="99">
        <v>2237</v>
      </c>
      <c r="L20" s="99">
        <v>37.51</v>
      </c>
      <c r="M20" s="99">
        <v>25</v>
      </c>
      <c r="N20" s="99">
        <v>192</v>
      </c>
      <c r="O20" s="99">
        <v>0</v>
      </c>
      <c r="P20" s="99">
        <v>0</v>
      </c>
      <c r="Q20" s="99">
        <f t="shared" si="0"/>
        <v>10332</v>
      </c>
      <c r="R20" s="99">
        <f t="shared" si="1"/>
        <v>16744.829999999998</v>
      </c>
      <c r="S20" s="114">
        <f>R20*100/'CD Ratio_3(i)'!F20</f>
        <v>26.845418837675346</v>
      </c>
      <c r="U20" s="111">
        <v>16744.829999999998</v>
      </c>
      <c r="W20" s="111">
        <f t="shared" si="2"/>
        <v>0</v>
      </c>
    </row>
    <row r="21" spans="1:23" ht="15" customHeight="1" x14ac:dyDescent="0.2">
      <c r="A21" s="57">
        <v>16</v>
      </c>
      <c r="B21" s="98" t="s">
        <v>64</v>
      </c>
      <c r="C21" s="99">
        <v>112638</v>
      </c>
      <c r="D21" s="99">
        <v>129993</v>
      </c>
      <c r="E21" s="99">
        <v>27963</v>
      </c>
      <c r="F21" s="99">
        <v>30609</v>
      </c>
      <c r="G21" s="99">
        <v>3376</v>
      </c>
      <c r="H21" s="99">
        <v>3301</v>
      </c>
      <c r="I21" s="99">
        <v>9571</v>
      </c>
      <c r="J21" s="99">
        <v>36933</v>
      </c>
      <c r="K21" s="99">
        <v>870</v>
      </c>
      <c r="L21" s="99">
        <v>8.8000000000000007</v>
      </c>
      <c r="M21" s="99">
        <v>427</v>
      </c>
      <c r="N21" s="99">
        <v>36</v>
      </c>
      <c r="O21" s="99">
        <v>5085</v>
      </c>
      <c r="P21" s="99">
        <v>8379.2000000000007</v>
      </c>
      <c r="Q21" s="99">
        <f t="shared" si="0"/>
        <v>159930</v>
      </c>
      <c r="R21" s="99">
        <f t="shared" si="1"/>
        <v>209260</v>
      </c>
      <c r="S21" s="114">
        <f>R21*100/'CD Ratio_3(i)'!F21</f>
        <v>15.525604709171279</v>
      </c>
      <c r="U21" s="111">
        <v>209260</v>
      </c>
      <c r="W21" s="111">
        <f t="shared" si="2"/>
        <v>0</v>
      </c>
    </row>
    <row r="22" spans="1:23" ht="15" customHeight="1" x14ac:dyDescent="0.2">
      <c r="A22" s="57">
        <v>17</v>
      </c>
      <c r="B22" s="103" t="s">
        <v>69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f t="shared" si="0"/>
        <v>0</v>
      </c>
      <c r="R22" s="99">
        <f t="shared" si="1"/>
        <v>0</v>
      </c>
      <c r="S22" s="114">
        <f>R22*100/'CD Ratio_3(i)'!F22</f>
        <v>0</v>
      </c>
      <c r="U22" s="111">
        <v>0</v>
      </c>
      <c r="W22" s="111">
        <f t="shared" si="2"/>
        <v>0</v>
      </c>
    </row>
    <row r="23" spans="1:23" ht="15" customHeight="1" x14ac:dyDescent="0.2">
      <c r="A23" s="57">
        <v>18</v>
      </c>
      <c r="B23" s="98" t="s">
        <v>209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f t="shared" si="0"/>
        <v>0</v>
      </c>
      <c r="R23" s="99">
        <f t="shared" si="1"/>
        <v>0</v>
      </c>
      <c r="S23" s="114">
        <f>R23*100/'CD Ratio_3(i)'!F23</f>
        <v>0</v>
      </c>
      <c r="U23" s="111">
        <v>0</v>
      </c>
      <c r="W23" s="111">
        <f t="shared" si="2"/>
        <v>0</v>
      </c>
    </row>
    <row r="24" spans="1:23" ht="15" customHeight="1" x14ac:dyDescent="0.2">
      <c r="A24" s="57">
        <v>19</v>
      </c>
      <c r="B24" s="104" t="s">
        <v>210</v>
      </c>
      <c r="C24" s="99">
        <v>0</v>
      </c>
      <c r="D24" s="99">
        <v>0</v>
      </c>
      <c r="E24" s="99">
        <v>71</v>
      </c>
      <c r="F24" s="99">
        <v>351.62</v>
      </c>
      <c r="G24" s="99">
        <v>0</v>
      </c>
      <c r="H24" s="99">
        <v>0</v>
      </c>
      <c r="I24" s="99">
        <v>204</v>
      </c>
      <c r="J24" s="99">
        <v>844.37</v>
      </c>
      <c r="K24" s="99">
        <v>17</v>
      </c>
      <c r="L24" s="99">
        <v>0.33</v>
      </c>
      <c r="M24" s="99">
        <v>2</v>
      </c>
      <c r="N24" s="99">
        <v>0.1</v>
      </c>
      <c r="O24" s="99">
        <v>64</v>
      </c>
      <c r="P24" s="99">
        <v>139</v>
      </c>
      <c r="Q24" s="99">
        <f t="shared" si="0"/>
        <v>358</v>
      </c>
      <c r="R24" s="99">
        <f t="shared" si="1"/>
        <v>1335.4199999999998</v>
      </c>
      <c r="S24" s="114">
        <f>R24*100/'CD Ratio_3(i)'!F24</f>
        <v>1.9057554264838092</v>
      </c>
      <c r="U24" s="111">
        <v>1335.4199999999998</v>
      </c>
      <c r="W24" s="111">
        <f t="shared" si="2"/>
        <v>0</v>
      </c>
    </row>
    <row r="25" spans="1:23" ht="15" customHeight="1" x14ac:dyDescent="0.2">
      <c r="A25" s="57">
        <v>20</v>
      </c>
      <c r="B25" s="98" t="s">
        <v>211</v>
      </c>
      <c r="C25" s="99">
        <v>0</v>
      </c>
      <c r="D25" s="99">
        <v>0</v>
      </c>
      <c r="E25" s="99">
        <v>41</v>
      </c>
      <c r="F25" s="99">
        <v>1472</v>
      </c>
      <c r="G25" s="99">
        <v>0</v>
      </c>
      <c r="H25" s="99">
        <v>0</v>
      </c>
      <c r="I25" s="99">
        <v>79</v>
      </c>
      <c r="J25" s="99">
        <v>1091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f t="shared" si="0"/>
        <v>120</v>
      </c>
      <c r="R25" s="99">
        <f t="shared" si="1"/>
        <v>2563</v>
      </c>
      <c r="S25" s="114">
        <f>R25*100/'CD Ratio_3(i)'!F25</f>
        <v>4.9096795203340804</v>
      </c>
      <c r="U25" s="111">
        <v>2563</v>
      </c>
      <c r="W25" s="111">
        <f t="shared" si="2"/>
        <v>0</v>
      </c>
    </row>
    <row r="26" spans="1:23" ht="15" customHeight="1" x14ac:dyDescent="0.2">
      <c r="A26" s="57">
        <v>21</v>
      </c>
      <c r="B26" s="98" t="s">
        <v>212</v>
      </c>
      <c r="C26" s="99">
        <v>230</v>
      </c>
      <c r="D26" s="99">
        <v>555</v>
      </c>
      <c r="E26" s="99">
        <v>229</v>
      </c>
      <c r="F26" s="99">
        <v>5829</v>
      </c>
      <c r="G26" s="99">
        <v>3</v>
      </c>
      <c r="H26" s="99">
        <v>11</v>
      </c>
      <c r="I26" s="99">
        <v>653</v>
      </c>
      <c r="J26" s="99">
        <v>3054</v>
      </c>
      <c r="K26" s="99">
        <v>0</v>
      </c>
      <c r="L26" s="99">
        <v>0</v>
      </c>
      <c r="M26" s="99">
        <v>122</v>
      </c>
      <c r="N26" s="99">
        <v>10</v>
      </c>
      <c r="O26" s="99">
        <v>994</v>
      </c>
      <c r="P26" s="99">
        <v>909</v>
      </c>
      <c r="Q26" s="99">
        <f t="shared" si="0"/>
        <v>2231</v>
      </c>
      <c r="R26" s="99">
        <f t="shared" si="1"/>
        <v>10368</v>
      </c>
      <c r="S26" s="114">
        <f>R26*100/'CD Ratio_3(i)'!F26</f>
        <v>17.465424591075248</v>
      </c>
      <c r="U26" s="111">
        <v>10368</v>
      </c>
      <c r="W26" s="111">
        <f t="shared" si="2"/>
        <v>0</v>
      </c>
    </row>
    <row r="27" spans="1:23" ht="15" customHeight="1" x14ac:dyDescent="0.2">
      <c r="A27" s="57">
        <v>22</v>
      </c>
      <c r="B27" s="98" t="s">
        <v>70</v>
      </c>
      <c r="C27" s="99">
        <v>299856</v>
      </c>
      <c r="D27" s="99">
        <v>341653</v>
      </c>
      <c r="E27" s="99">
        <v>96555</v>
      </c>
      <c r="F27" s="99">
        <v>191057</v>
      </c>
      <c r="G27" s="99">
        <v>2739</v>
      </c>
      <c r="H27" s="99">
        <v>2286</v>
      </c>
      <c r="I27" s="99">
        <v>110397</v>
      </c>
      <c r="J27" s="99">
        <v>180422</v>
      </c>
      <c r="K27" s="99">
        <v>133529</v>
      </c>
      <c r="L27" s="99">
        <v>6476</v>
      </c>
      <c r="M27" s="99">
        <v>369</v>
      </c>
      <c r="N27" s="99">
        <v>196</v>
      </c>
      <c r="O27" s="99">
        <v>17299</v>
      </c>
      <c r="P27" s="99">
        <v>27604</v>
      </c>
      <c r="Q27" s="99">
        <f t="shared" si="0"/>
        <v>660744</v>
      </c>
      <c r="R27" s="99">
        <f t="shared" si="1"/>
        <v>749694</v>
      </c>
      <c r="S27" s="114">
        <f>R27*100/'CD Ratio_3(i)'!F27</f>
        <v>13.298421666755951</v>
      </c>
      <c r="U27" s="111">
        <v>749694</v>
      </c>
      <c r="W27" s="111">
        <f t="shared" si="2"/>
        <v>0</v>
      </c>
    </row>
    <row r="28" spans="1:23" ht="15" customHeight="1" x14ac:dyDescent="0.2">
      <c r="A28" s="57">
        <v>23</v>
      </c>
      <c r="B28" s="98" t="s">
        <v>65</v>
      </c>
      <c r="C28" s="99">
        <v>5656</v>
      </c>
      <c r="D28" s="99">
        <v>7138</v>
      </c>
      <c r="E28" s="99">
        <v>201</v>
      </c>
      <c r="F28" s="99">
        <v>1761</v>
      </c>
      <c r="G28" s="99">
        <v>3656</v>
      </c>
      <c r="H28" s="99">
        <v>4622</v>
      </c>
      <c r="I28" s="99">
        <v>4709</v>
      </c>
      <c r="J28" s="99">
        <v>7441</v>
      </c>
      <c r="K28" s="99">
        <v>368</v>
      </c>
      <c r="L28" s="99">
        <v>28</v>
      </c>
      <c r="M28" s="99">
        <v>0</v>
      </c>
      <c r="N28" s="99">
        <v>0</v>
      </c>
      <c r="O28" s="99">
        <v>3177</v>
      </c>
      <c r="P28" s="99">
        <v>1525</v>
      </c>
      <c r="Q28" s="99">
        <f t="shared" si="0"/>
        <v>17767</v>
      </c>
      <c r="R28" s="99">
        <f t="shared" si="1"/>
        <v>22515</v>
      </c>
      <c r="S28" s="114">
        <f>R28*100/'CD Ratio_3(i)'!F28</f>
        <v>15.341164606642046</v>
      </c>
      <c r="U28" s="111">
        <v>22515</v>
      </c>
      <c r="W28" s="111">
        <f t="shared" si="2"/>
        <v>0</v>
      </c>
    </row>
    <row r="29" spans="1:23" ht="15" customHeight="1" x14ac:dyDescent="0.2">
      <c r="A29" s="57">
        <v>24</v>
      </c>
      <c r="B29" s="98" t="s">
        <v>213</v>
      </c>
      <c r="C29" s="99">
        <v>30922</v>
      </c>
      <c r="D29" s="99">
        <v>14872</v>
      </c>
      <c r="E29" s="99">
        <v>22540</v>
      </c>
      <c r="F29" s="99">
        <v>17442</v>
      </c>
      <c r="G29" s="99">
        <v>914</v>
      </c>
      <c r="H29" s="99">
        <v>3912</v>
      </c>
      <c r="I29" s="99">
        <v>25214</v>
      </c>
      <c r="J29" s="99">
        <v>19412</v>
      </c>
      <c r="K29" s="99">
        <v>240</v>
      </c>
      <c r="L29" s="99">
        <v>9</v>
      </c>
      <c r="M29" s="99">
        <v>703</v>
      </c>
      <c r="N29" s="99">
        <v>72</v>
      </c>
      <c r="O29" s="99">
        <v>5609</v>
      </c>
      <c r="P29" s="99">
        <v>512</v>
      </c>
      <c r="Q29" s="99">
        <f t="shared" si="0"/>
        <v>86142</v>
      </c>
      <c r="R29" s="99">
        <f t="shared" si="1"/>
        <v>56231</v>
      </c>
      <c r="S29" s="114">
        <f>R29*100/'CD Ratio_3(i)'!F29</f>
        <v>13.1743588473618</v>
      </c>
      <c r="U29" s="111">
        <v>56231</v>
      </c>
      <c r="W29" s="111">
        <f t="shared" si="2"/>
        <v>0</v>
      </c>
    </row>
    <row r="30" spans="1:23" ht="15" customHeight="1" x14ac:dyDescent="0.2">
      <c r="A30" s="57">
        <v>25</v>
      </c>
      <c r="B30" s="98" t="s">
        <v>66</v>
      </c>
      <c r="C30" s="99">
        <v>81428</v>
      </c>
      <c r="D30" s="99">
        <v>127091</v>
      </c>
      <c r="E30" s="99">
        <v>34034</v>
      </c>
      <c r="F30" s="99">
        <v>38478</v>
      </c>
      <c r="G30" s="99">
        <v>7531</v>
      </c>
      <c r="H30" s="99">
        <v>5935</v>
      </c>
      <c r="I30" s="99">
        <v>9871</v>
      </c>
      <c r="J30" s="99">
        <v>38603</v>
      </c>
      <c r="K30" s="99">
        <v>2582</v>
      </c>
      <c r="L30" s="99">
        <v>15</v>
      </c>
      <c r="M30" s="99">
        <v>326</v>
      </c>
      <c r="N30" s="99">
        <v>53</v>
      </c>
      <c r="O30" s="99">
        <v>172</v>
      </c>
      <c r="P30" s="99">
        <v>2212</v>
      </c>
      <c r="Q30" s="99">
        <f t="shared" si="0"/>
        <v>135944</v>
      </c>
      <c r="R30" s="99">
        <f t="shared" si="1"/>
        <v>212387</v>
      </c>
      <c r="S30" s="114">
        <f>R30*100/'CD Ratio_3(i)'!F30</f>
        <v>23.122111600411522</v>
      </c>
      <c r="U30" s="111">
        <v>212387</v>
      </c>
      <c r="W30" s="111">
        <f t="shared" si="2"/>
        <v>0</v>
      </c>
    </row>
    <row r="31" spans="1:23" ht="15" customHeight="1" x14ac:dyDescent="0.2">
      <c r="A31" s="57">
        <v>26</v>
      </c>
      <c r="B31" s="101" t="s">
        <v>67</v>
      </c>
      <c r="C31" s="99">
        <v>19</v>
      </c>
      <c r="D31" s="99">
        <v>529</v>
      </c>
      <c r="E31" s="99">
        <v>230</v>
      </c>
      <c r="F31" s="99">
        <v>2341</v>
      </c>
      <c r="G31" s="99">
        <v>0</v>
      </c>
      <c r="H31" s="99">
        <v>0</v>
      </c>
      <c r="I31" s="99">
        <v>155</v>
      </c>
      <c r="J31" s="99">
        <v>566</v>
      </c>
      <c r="K31" s="99">
        <v>0</v>
      </c>
      <c r="L31" s="99">
        <v>0</v>
      </c>
      <c r="M31" s="99">
        <v>1</v>
      </c>
      <c r="N31" s="99">
        <v>0.04</v>
      </c>
      <c r="O31" s="99">
        <v>30</v>
      </c>
      <c r="P31" s="99">
        <v>230</v>
      </c>
      <c r="Q31" s="99">
        <f t="shared" si="0"/>
        <v>435</v>
      </c>
      <c r="R31" s="99">
        <f t="shared" si="1"/>
        <v>3666.04</v>
      </c>
      <c r="S31" s="114">
        <f>R31*100/'CD Ratio_3(i)'!F31</f>
        <v>13.857121257937708</v>
      </c>
      <c r="U31" s="111">
        <v>3666.04</v>
      </c>
      <c r="W31" s="111">
        <f t="shared" si="2"/>
        <v>0</v>
      </c>
    </row>
    <row r="32" spans="1:23" ht="15" customHeight="1" x14ac:dyDescent="0.2">
      <c r="A32" s="57">
        <v>27</v>
      </c>
      <c r="B32" s="98" t="s">
        <v>50</v>
      </c>
      <c r="C32" s="99">
        <v>7396</v>
      </c>
      <c r="D32" s="99">
        <v>10124</v>
      </c>
      <c r="E32" s="99">
        <v>871</v>
      </c>
      <c r="F32" s="99">
        <v>1548</v>
      </c>
      <c r="G32" s="99">
        <v>29</v>
      </c>
      <c r="H32" s="99">
        <v>18.489999999999998</v>
      </c>
      <c r="I32" s="99">
        <v>2547</v>
      </c>
      <c r="J32" s="99">
        <v>8541</v>
      </c>
      <c r="K32" s="99">
        <v>69</v>
      </c>
      <c r="L32" s="99">
        <v>0.28999999999999998</v>
      </c>
      <c r="M32" s="99">
        <v>23</v>
      </c>
      <c r="N32" s="99">
        <v>3.23</v>
      </c>
      <c r="O32" s="99">
        <v>258</v>
      </c>
      <c r="P32" s="99">
        <v>794.12</v>
      </c>
      <c r="Q32" s="99">
        <f t="shared" si="0"/>
        <v>11193</v>
      </c>
      <c r="R32" s="99">
        <f t="shared" si="1"/>
        <v>21029.129999999997</v>
      </c>
      <c r="S32" s="114">
        <f>R32*100/'CD Ratio_3(i)'!F32</f>
        <v>26.678926201743142</v>
      </c>
      <c r="U32" s="111">
        <v>21029.129999999997</v>
      </c>
      <c r="W32" s="111">
        <f t="shared" si="2"/>
        <v>0</v>
      </c>
    </row>
    <row r="33" spans="1:23" s="108" customFormat="1" ht="15" customHeight="1" x14ac:dyDescent="0.2">
      <c r="A33" s="317"/>
      <c r="B33" s="105" t="s">
        <v>288</v>
      </c>
      <c r="C33" s="106">
        <f>SUM(C6:C32)</f>
        <v>1269258</v>
      </c>
      <c r="D33" s="106">
        <f t="shared" ref="D33:R33" si="3">SUM(D6:D32)</f>
        <v>1775625.45</v>
      </c>
      <c r="E33" s="106">
        <f>SCST_OS_22!C33+SCST_OS_22!E33</f>
        <v>693560</v>
      </c>
      <c r="F33" s="106">
        <f>SCST_OS_22!D33+SCST_OS_22!F33</f>
        <v>1041536.1799999999</v>
      </c>
      <c r="G33" s="106">
        <f t="shared" si="3"/>
        <v>31548</v>
      </c>
      <c r="H33" s="106">
        <f t="shared" si="3"/>
        <v>29563.780000000002</v>
      </c>
      <c r="I33" s="106">
        <f>Minority_OS_20!O33</f>
        <v>269325</v>
      </c>
      <c r="J33" s="106">
        <f>Minority_OS_20!P33</f>
        <v>620018.79</v>
      </c>
      <c r="K33" s="106">
        <f t="shared" si="3"/>
        <v>169778</v>
      </c>
      <c r="L33" s="106">
        <f t="shared" si="3"/>
        <v>7566.7699999999995</v>
      </c>
      <c r="M33" s="106">
        <f t="shared" si="3"/>
        <v>6999</v>
      </c>
      <c r="N33" s="106">
        <f t="shared" si="3"/>
        <v>1470.4399999999998</v>
      </c>
      <c r="O33" s="106">
        <f t="shared" si="3"/>
        <v>84602</v>
      </c>
      <c r="P33" s="106">
        <f t="shared" si="3"/>
        <v>113947.57999999999</v>
      </c>
      <c r="Q33" s="106">
        <f t="shared" si="3"/>
        <v>2527122</v>
      </c>
      <c r="R33" s="106">
        <f t="shared" si="3"/>
        <v>3606765.8399999994</v>
      </c>
      <c r="S33" s="115">
        <f>R33*100/'CD Ratio_3(i)'!F33</f>
        <v>23.974497109836964</v>
      </c>
      <c r="U33" s="112">
        <v>3606765.8399999994</v>
      </c>
      <c r="W33" s="111">
        <f t="shared" si="2"/>
        <v>0</v>
      </c>
    </row>
    <row r="34" spans="1:23" ht="15" customHeight="1" x14ac:dyDescent="0.2">
      <c r="A34" s="57">
        <v>28</v>
      </c>
      <c r="B34" s="98" t="s">
        <v>47</v>
      </c>
      <c r="C34" s="99">
        <v>39736</v>
      </c>
      <c r="D34" s="99">
        <v>21878.15</v>
      </c>
      <c r="E34" s="99">
        <v>8676</v>
      </c>
      <c r="F34" s="99">
        <v>4937.38</v>
      </c>
      <c r="G34" s="99">
        <v>4</v>
      </c>
      <c r="H34" s="99">
        <v>0.71</v>
      </c>
      <c r="I34" s="99">
        <v>4424</v>
      </c>
      <c r="J34" s="99">
        <v>8294.2199999999993</v>
      </c>
      <c r="K34" s="99">
        <v>0</v>
      </c>
      <c r="L34" s="99">
        <v>0</v>
      </c>
      <c r="M34" s="99">
        <v>0</v>
      </c>
      <c r="N34" s="99">
        <v>0</v>
      </c>
      <c r="O34" s="99">
        <v>13</v>
      </c>
      <c r="P34" s="99">
        <v>426.92</v>
      </c>
      <c r="Q34" s="99">
        <f t="shared" ref="Q34:Q55" si="4">C34+E34+G34+I34+K34+M34+O34</f>
        <v>52853</v>
      </c>
      <c r="R34" s="99">
        <f t="shared" ref="R34:R55" si="5">D34+F34+H34+J34+L34+N34+P34</f>
        <v>35537.379999999997</v>
      </c>
      <c r="S34" s="114">
        <f>R34*100/'CD Ratio_3(i)'!F34</f>
        <v>6.0324649304448279</v>
      </c>
      <c r="U34" s="111">
        <v>35537.379999999997</v>
      </c>
      <c r="W34" s="111">
        <f t="shared" si="2"/>
        <v>0</v>
      </c>
    </row>
    <row r="35" spans="1:23" ht="15" customHeight="1" x14ac:dyDescent="0.2">
      <c r="A35" s="57">
        <v>29</v>
      </c>
      <c r="B35" s="98" t="s">
        <v>215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f t="shared" si="4"/>
        <v>0</v>
      </c>
      <c r="R35" s="99">
        <f t="shared" si="5"/>
        <v>0</v>
      </c>
      <c r="S35" s="114">
        <f>R35*100/'CD Ratio_3(i)'!F35</f>
        <v>0</v>
      </c>
      <c r="U35" s="111">
        <v>0</v>
      </c>
      <c r="W35" s="111">
        <f t="shared" si="2"/>
        <v>0</v>
      </c>
    </row>
    <row r="36" spans="1:23" ht="15" customHeight="1" x14ac:dyDescent="0.2">
      <c r="A36" s="57">
        <v>30</v>
      </c>
      <c r="B36" s="98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v>0</v>
      </c>
      <c r="P36" s="99">
        <v>0</v>
      </c>
      <c r="Q36" s="99">
        <f t="shared" si="4"/>
        <v>0</v>
      </c>
      <c r="R36" s="99">
        <f t="shared" si="5"/>
        <v>0</v>
      </c>
      <c r="S36" s="114">
        <f>R36*100/'CD Ratio_3(i)'!F36</f>
        <v>0</v>
      </c>
      <c r="U36" s="111">
        <v>0</v>
      </c>
      <c r="W36" s="111">
        <f t="shared" si="2"/>
        <v>0</v>
      </c>
    </row>
    <row r="37" spans="1:23" ht="15" customHeight="1" x14ac:dyDescent="0.2">
      <c r="A37" s="57">
        <v>31</v>
      </c>
      <c r="B37" s="98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f t="shared" si="4"/>
        <v>0</v>
      </c>
      <c r="R37" s="99">
        <f t="shared" si="5"/>
        <v>0</v>
      </c>
      <c r="S37" s="114">
        <f>R37*100/'CD Ratio_3(i)'!F37</f>
        <v>0</v>
      </c>
      <c r="U37" s="111">
        <v>0</v>
      </c>
      <c r="W37" s="111">
        <f t="shared" si="2"/>
        <v>0</v>
      </c>
    </row>
    <row r="38" spans="1:23" ht="15" customHeight="1" x14ac:dyDescent="0.2">
      <c r="A38" s="57">
        <v>32</v>
      </c>
      <c r="B38" s="98" t="s">
        <v>51</v>
      </c>
      <c r="C38" s="99">
        <v>0</v>
      </c>
      <c r="D38" s="99">
        <v>0</v>
      </c>
      <c r="E38" s="99">
        <v>0</v>
      </c>
      <c r="F38" s="99">
        <v>0</v>
      </c>
      <c r="G38" s="99">
        <v>0</v>
      </c>
      <c r="H38" s="99">
        <v>0</v>
      </c>
      <c r="I38" s="99">
        <v>0</v>
      </c>
      <c r="J38" s="99">
        <v>0</v>
      </c>
      <c r="K38" s="99">
        <v>0</v>
      </c>
      <c r="L38" s="99">
        <v>0</v>
      </c>
      <c r="M38" s="99">
        <v>0</v>
      </c>
      <c r="N38" s="99">
        <v>0</v>
      </c>
      <c r="O38" s="99">
        <v>0</v>
      </c>
      <c r="P38" s="99">
        <v>0</v>
      </c>
      <c r="Q38" s="99">
        <f t="shared" si="4"/>
        <v>0</v>
      </c>
      <c r="R38" s="99">
        <f t="shared" si="5"/>
        <v>0</v>
      </c>
      <c r="S38" s="114">
        <f>R38*100/'CD Ratio_3(i)'!F38</f>
        <v>0</v>
      </c>
      <c r="U38" s="111">
        <v>0</v>
      </c>
      <c r="W38" s="111">
        <f t="shared" ref="W38:W63" si="6">U38-R38</f>
        <v>0</v>
      </c>
    </row>
    <row r="39" spans="1:23" ht="15" customHeight="1" x14ac:dyDescent="0.2">
      <c r="A39" s="57">
        <v>33</v>
      </c>
      <c r="B39" s="98" t="s">
        <v>217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f t="shared" si="4"/>
        <v>0</v>
      </c>
      <c r="R39" s="99">
        <f t="shared" si="5"/>
        <v>0</v>
      </c>
      <c r="S39" s="114">
        <f>R39*100/'CD Ratio_3(i)'!F39</f>
        <v>0</v>
      </c>
      <c r="U39" s="111">
        <v>0</v>
      </c>
      <c r="W39" s="111">
        <f t="shared" si="6"/>
        <v>0</v>
      </c>
    </row>
    <row r="40" spans="1:23" ht="15" customHeight="1" x14ac:dyDescent="0.2">
      <c r="A40" s="57">
        <v>34</v>
      </c>
      <c r="B40" s="98" t="s">
        <v>218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4</v>
      </c>
      <c r="J40" s="99">
        <v>5.71</v>
      </c>
      <c r="K40" s="99">
        <v>0</v>
      </c>
      <c r="L40" s="99">
        <v>0</v>
      </c>
      <c r="M40" s="99">
        <v>0</v>
      </c>
      <c r="N40" s="99">
        <v>0</v>
      </c>
      <c r="O40" s="99">
        <v>0</v>
      </c>
      <c r="P40" s="99">
        <v>0</v>
      </c>
      <c r="Q40" s="99">
        <f t="shared" si="4"/>
        <v>4</v>
      </c>
      <c r="R40" s="99">
        <f t="shared" si="5"/>
        <v>5.71</v>
      </c>
      <c r="S40" s="114">
        <f>R40*100/'CD Ratio_3(i)'!F40</f>
        <v>16.314285714285713</v>
      </c>
      <c r="U40" s="111">
        <v>5.71</v>
      </c>
      <c r="W40" s="111">
        <f t="shared" si="6"/>
        <v>0</v>
      </c>
    </row>
    <row r="41" spans="1:23" ht="15" customHeight="1" x14ac:dyDescent="0.2">
      <c r="A41" s="57">
        <v>35</v>
      </c>
      <c r="B41" s="98" t="s">
        <v>219</v>
      </c>
      <c r="C41" s="99">
        <v>1656</v>
      </c>
      <c r="D41" s="99">
        <v>1941.63</v>
      </c>
      <c r="E41" s="99">
        <v>40</v>
      </c>
      <c r="F41" s="99">
        <v>28.51</v>
      </c>
      <c r="G41" s="99">
        <v>0</v>
      </c>
      <c r="H41" s="99">
        <v>0</v>
      </c>
      <c r="I41" s="99">
        <v>162</v>
      </c>
      <c r="J41" s="99">
        <v>835.91</v>
      </c>
      <c r="K41" s="99">
        <v>0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f t="shared" si="4"/>
        <v>1858</v>
      </c>
      <c r="R41" s="99">
        <f t="shared" si="5"/>
        <v>2806.05</v>
      </c>
      <c r="S41" s="114">
        <f>R41*100/'CD Ratio_3(i)'!F41</f>
        <v>18.12211478598719</v>
      </c>
      <c r="U41" s="111">
        <v>2806.05</v>
      </c>
      <c r="W41" s="111">
        <f t="shared" si="6"/>
        <v>0</v>
      </c>
    </row>
    <row r="42" spans="1:23" ht="15" customHeight="1" x14ac:dyDescent="0.2">
      <c r="A42" s="57">
        <v>36</v>
      </c>
      <c r="B42" s="98" t="s">
        <v>71</v>
      </c>
      <c r="C42" s="99">
        <v>41798</v>
      </c>
      <c r="D42" s="99">
        <v>41781</v>
      </c>
      <c r="E42" s="99">
        <v>5537</v>
      </c>
      <c r="F42" s="99">
        <v>15575</v>
      </c>
      <c r="G42" s="99">
        <v>495</v>
      </c>
      <c r="H42" s="99">
        <v>148.1</v>
      </c>
      <c r="I42" s="99">
        <v>18822</v>
      </c>
      <c r="J42" s="99">
        <v>20839.89</v>
      </c>
      <c r="K42" s="99">
        <v>0</v>
      </c>
      <c r="L42" s="99">
        <v>0</v>
      </c>
      <c r="M42" s="99">
        <v>0</v>
      </c>
      <c r="N42" s="99">
        <v>0</v>
      </c>
      <c r="O42" s="99">
        <v>110927</v>
      </c>
      <c r="P42" s="99">
        <v>15868</v>
      </c>
      <c r="Q42" s="99">
        <f t="shared" si="4"/>
        <v>177579</v>
      </c>
      <c r="R42" s="99">
        <f t="shared" si="5"/>
        <v>94211.989999999991</v>
      </c>
      <c r="S42" s="114">
        <f>R42*100/'CD Ratio_3(i)'!F42</f>
        <v>7.9999040473343843</v>
      </c>
      <c r="U42" s="111">
        <v>94211.989999999991</v>
      </c>
      <c r="W42" s="111">
        <f t="shared" si="6"/>
        <v>0</v>
      </c>
    </row>
    <row r="43" spans="1:23" ht="15" customHeight="1" x14ac:dyDescent="0.2">
      <c r="A43" s="57">
        <v>37</v>
      </c>
      <c r="B43" s="98" t="s">
        <v>72</v>
      </c>
      <c r="C43" s="99">
        <v>679</v>
      </c>
      <c r="D43" s="99">
        <v>2716</v>
      </c>
      <c r="E43" s="99">
        <v>23440</v>
      </c>
      <c r="F43" s="99">
        <v>28057</v>
      </c>
      <c r="G43" s="99">
        <v>6039</v>
      </c>
      <c r="H43" s="99">
        <v>2909</v>
      </c>
      <c r="I43" s="99">
        <v>9416</v>
      </c>
      <c r="J43" s="99">
        <v>31869</v>
      </c>
      <c r="K43" s="99">
        <v>32</v>
      </c>
      <c r="L43" s="99">
        <v>2</v>
      </c>
      <c r="M43" s="99">
        <v>0</v>
      </c>
      <c r="N43" s="99">
        <v>0</v>
      </c>
      <c r="O43" s="99">
        <v>45956</v>
      </c>
      <c r="P43" s="99">
        <v>64125</v>
      </c>
      <c r="Q43" s="99">
        <f t="shared" si="4"/>
        <v>85562</v>
      </c>
      <c r="R43" s="99">
        <f t="shared" si="5"/>
        <v>129678</v>
      </c>
      <c r="S43" s="114">
        <f>R43*100/'CD Ratio_3(i)'!F43</f>
        <v>12.358300955190938</v>
      </c>
      <c r="U43" s="111">
        <v>129678</v>
      </c>
      <c r="W43" s="111">
        <f t="shared" si="6"/>
        <v>0</v>
      </c>
    </row>
    <row r="44" spans="1:23" ht="15" customHeight="1" x14ac:dyDescent="0.2">
      <c r="A44" s="57">
        <v>38</v>
      </c>
      <c r="B44" s="98" t="s">
        <v>220</v>
      </c>
      <c r="C44" s="99">
        <v>6944</v>
      </c>
      <c r="D44" s="99">
        <v>1055.74</v>
      </c>
      <c r="E44" s="99">
        <v>49556</v>
      </c>
      <c r="F44" s="99">
        <v>5563</v>
      </c>
      <c r="G44" s="99">
        <v>0</v>
      </c>
      <c r="H44" s="99">
        <v>0</v>
      </c>
      <c r="I44" s="99">
        <v>8722</v>
      </c>
      <c r="J44" s="99">
        <v>783.31</v>
      </c>
      <c r="K44" s="99">
        <v>0</v>
      </c>
      <c r="L44" s="99">
        <v>0</v>
      </c>
      <c r="M44" s="99">
        <v>0</v>
      </c>
      <c r="N44" s="99">
        <v>0</v>
      </c>
      <c r="O44" s="99">
        <v>98501</v>
      </c>
      <c r="P44" s="99">
        <v>6908.81</v>
      </c>
      <c r="Q44" s="99">
        <f t="shared" si="4"/>
        <v>163723</v>
      </c>
      <c r="R44" s="99">
        <f t="shared" si="5"/>
        <v>14310.86</v>
      </c>
      <c r="S44" s="114">
        <f>R44*100/'CD Ratio_3(i)'!F44</f>
        <v>92.975961538461533</v>
      </c>
      <c r="U44" s="111">
        <v>14310.86</v>
      </c>
      <c r="W44" s="111">
        <f t="shared" si="6"/>
        <v>0</v>
      </c>
    </row>
    <row r="45" spans="1:23" ht="15" customHeight="1" x14ac:dyDescent="0.2">
      <c r="A45" s="57">
        <v>39</v>
      </c>
      <c r="B45" s="98" t="s">
        <v>221</v>
      </c>
      <c r="C45" s="99">
        <v>21769</v>
      </c>
      <c r="D45" s="99">
        <v>29356</v>
      </c>
      <c r="E45" s="99">
        <v>2015</v>
      </c>
      <c r="F45" s="99">
        <v>1898</v>
      </c>
      <c r="G45" s="99">
        <v>0</v>
      </c>
      <c r="H45" s="99">
        <v>0</v>
      </c>
      <c r="I45" s="99">
        <v>6861</v>
      </c>
      <c r="J45" s="99">
        <v>13830</v>
      </c>
      <c r="K45" s="99">
        <v>0</v>
      </c>
      <c r="L45" s="99">
        <v>0</v>
      </c>
      <c r="M45" s="99">
        <v>0</v>
      </c>
      <c r="N45" s="99">
        <v>0</v>
      </c>
      <c r="O45" s="99">
        <v>36909</v>
      </c>
      <c r="P45" s="99">
        <v>32898</v>
      </c>
      <c r="Q45" s="99">
        <f t="shared" si="4"/>
        <v>67554</v>
      </c>
      <c r="R45" s="99">
        <f t="shared" si="5"/>
        <v>77982</v>
      </c>
      <c r="S45" s="114">
        <f>R45*100/'CD Ratio_3(i)'!F45</f>
        <v>29.114491162832373</v>
      </c>
      <c r="U45" s="111">
        <v>77982</v>
      </c>
      <c r="W45" s="111">
        <f t="shared" si="6"/>
        <v>0</v>
      </c>
    </row>
    <row r="46" spans="1:23" ht="15" customHeight="1" x14ac:dyDescent="0.2">
      <c r="A46" s="57">
        <v>40</v>
      </c>
      <c r="B46" s="98" t="s">
        <v>222</v>
      </c>
      <c r="C46" s="99">
        <v>0</v>
      </c>
      <c r="D46" s="99">
        <v>0</v>
      </c>
      <c r="E46" s="99">
        <v>0</v>
      </c>
      <c r="F46" s="99">
        <v>0</v>
      </c>
      <c r="G46" s="99">
        <v>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99">
        <v>0</v>
      </c>
      <c r="O46" s="99">
        <v>0</v>
      </c>
      <c r="P46" s="99">
        <v>0</v>
      </c>
      <c r="Q46" s="99">
        <f t="shared" si="4"/>
        <v>0</v>
      </c>
      <c r="R46" s="99">
        <f t="shared" si="5"/>
        <v>0</v>
      </c>
      <c r="S46" s="114">
        <f>R46*100/'CD Ratio_3(i)'!F46</f>
        <v>0</v>
      </c>
      <c r="U46" s="111">
        <v>0</v>
      </c>
      <c r="W46" s="111">
        <f t="shared" si="6"/>
        <v>0</v>
      </c>
    </row>
    <row r="47" spans="1:23" ht="15" customHeight="1" x14ac:dyDescent="0.2">
      <c r="A47" s="57">
        <v>41</v>
      </c>
      <c r="B47" s="98" t="s">
        <v>223</v>
      </c>
      <c r="C47" s="99">
        <v>43</v>
      </c>
      <c r="D47" s="99">
        <v>796.73</v>
      </c>
      <c r="E47" s="99">
        <v>12</v>
      </c>
      <c r="F47" s="99">
        <v>88.91</v>
      </c>
      <c r="G47" s="99">
        <v>0</v>
      </c>
      <c r="H47" s="99">
        <v>0</v>
      </c>
      <c r="I47" s="99">
        <v>77</v>
      </c>
      <c r="J47" s="99">
        <v>537.67999999999995</v>
      </c>
      <c r="K47" s="99">
        <v>0</v>
      </c>
      <c r="L47" s="99">
        <v>0</v>
      </c>
      <c r="M47" s="99">
        <v>1</v>
      </c>
      <c r="N47" s="99">
        <v>0.99</v>
      </c>
      <c r="O47" s="99">
        <v>33</v>
      </c>
      <c r="P47" s="99">
        <v>418.39</v>
      </c>
      <c r="Q47" s="99">
        <f t="shared" si="4"/>
        <v>166</v>
      </c>
      <c r="R47" s="99">
        <f t="shared" si="5"/>
        <v>1842.6999999999998</v>
      </c>
      <c r="S47" s="114">
        <f>R47*100/'CD Ratio_3(i)'!F47</f>
        <v>5.7986657435961977</v>
      </c>
      <c r="U47" s="111">
        <v>1842.6999999999998</v>
      </c>
      <c r="W47" s="111">
        <f t="shared" si="6"/>
        <v>0</v>
      </c>
    </row>
    <row r="48" spans="1:23" ht="15" customHeight="1" x14ac:dyDescent="0.2">
      <c r="A48" s="57">
        <v>42</v>
      </c>
      <c r="B48" s="98" t="s">
        <v>224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99">
        <v>0</v>
      </c>
      <c r="O48" s="99">
        <v>0</v>
      </c>
      <c r="P48" s="99">
        <v>0</v>
      </c>
      <c r="Q48" s="99">
        <f t="shared" si="4"/>
        <v>0</v>
      </c>
      <c r="R48" s="99">
        <f t="shared" si="5"/>
        <v>0</v>
      </c>
      <c r="S48" s="114">
        <f>R48*100/'CD Ratio_3(i)'!F48</f>
        <v>0</v>
      </c>
      <c r="U48" s="111">
        <v>0</v>
      </c>
      <c r="W48" s="111">
        <f t="shared" si="6"/>
        <v>0</v>
      </c>
    </row>
    <row r="49" spans="1:23" ht="15" customHeight="1" x14ac:dyDescent="0.2">
      <c r="A49" s="57">
        <v>43</v>
      </c>
      <c r="B49" s="107" t="s">
        <v>73</v>
      </c>
      <c r="C49" s="99">
        <v>16887</v>
      </c>
      <c r="D49" s="99">
        <v>26747</v>
      </c>
      <c r="E49" s="99">
        <v>5463</v>
      </c>
      <c r="F49" s="99">
        <v>12510</v>
      </c>
      <c r="G49" s="99">
        <v>0</v>
      </c>
      <c r="H49" s="99">
        <v>0</v>
      </c>
      <c r="I49" s="99">
        <v>2052</v>
      </c>
      <c r="J49" s="99">
        <v>14462</v>
      </c>
      <c r="K49" s="99">
        <v>0</v>
      </c>
      <c r="L49" s="99">
        <v>0</v>
      </c>
      <c r="M49" s="99">
        <v>0</v>
      </c>
      <c r="N49" s="99">
        <v>0</v>
      </c>
      <c r="O49" s="99">
        <f>21822-16887</f>
        <v>4935</v>
      </c>
      <c r="P49" s="99">
        <f>48506-26747</f>
        <v>21759</v>
      </c>
      <c r="Q49" s="99">
        <f t="shared" si="4"/>
        <v>29337</v>
      </c>
      <c r="R49" s="99">
        <f t="shared" si="5"/>
        <v>75478</v>
      </c>
      <c r="S49" s="114">
        <f>R49*100/'CD Ratio_3(i)'!F49</f>
        <v>33.839049540461779</v>
      </c>
      <c r="U49" s="111">
        <v>75478</v>
      </c>
      <c r="W49" s="111">
        <f t="shared" si="6"/>
        <v>0</v>
      </c>
    </row>
    <row r="50" spans="1:23" ht="15" customHeight="1" x14ac:dyDescent="0.2">
      <c r="A50" s="57">
        <v>44</v>
      </c>
      <c r="B50" s="98" t="s">
        <v>225</v>
      </c>
      <c r="C50" s="99">
        <v>0</v>
      </c>
      <c r="D50" s="99">
        <v>0</v>
      </c>
      <c r="E50" s="99">
        <v>1</v>
      </c>
      <c r="F50" s="99">
        <v>1</v>
      </c>
      <c r="G50" s="99">
        <v>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99">
        <v>0</v>
      </c>
      <c r="O50" s="99">
        <v>0</v>
      </c>
      <c r="P50" s="99">
        <v>0</v>
      </c>
      <c r="Q50" s="99">
        <f t="shared" si="4"/>
        <v>1</v>
      </c>
      <c r="R50" s="99">
        <f t="shared" si="5"/>
        <v>1</v>
      </c>
      <c r="S50" s="114">
        <f>R50*100/'CD Ratio_3(i)'!F50</f>
        <v>2.2036139268400177E-2</v>
      </c>
      <c r="U50" s="111">
        <v>1</v>
      </c>
      <c r="W50" s="111">
        <f t="shared" si="6"/>
        <v>0</v>
      </c>
    </row>
    <row r="51" spans="1:23" ht="15" customHeight="1" x14ac:dyDescent="0.2">
      <c r="A51" s="57">
        <v>45</v>
      </c>
      <c r="B51" s="98" t="s">
        <v>226</v>
      </c>
      <c r="C51" s="99">
        <v>2030</v>
      </c>
      <c r="D51" s="99">
        <v>2523</v>
      </c>
      <c r="E51" s="99">
        <v>6587</v>
      </c>
      <c r="F51" s="99">
        <v>992.5</v>
      </c>
      <c r="G51" s="99">
        <v>0</v>
      </c>
      <c r="H51" s="99">
        <v>0</v>
      </c>
      <c r="I51" s="99">
        <v>5139</v>
      </c>
      <c r="J51" s="99">
        <v>615.75</v>
      </c>
      <c r="K51" s="99">
        <v>0</v>
      </c>
      <c r="L51" s="99">
        <v>0</v>
      </c>
      <c r="M51" s="99">
        <v>0</v>
      </c>
      <c r="N51" s="99">
        <v>0</v>
      </c>
      <c r="O51" s="99">
        <v>142037</v>
      </c>
      <c r="P51" s="99">
        <v>17220</v>
      </c>
      <c r="Q51" s="99">
        <f t="shared" si="4"/>
        <v>155793</v>
      </c>
      <c r="R51" s="99">
        <f t="shared" si="5"/>
        <v>21351.25</v>
      </c>
      <c r="S51" s="114">
        <f>R51*100/'CD Ratio_3(i)'!F51</f>
        <v>25.745490281194233</v>
      </c>
      <c r="U51" s="111">
        <v>21351.25</v>
      </c>
      <c r="W51" s="111">
        <f t="shared" si="6"/>
        <v>0</v>
      </c>
    </row>
    <row r="52" spans="1:23" ht="15" customHeight="1" x14ac:dyDescent="0.2">
      <c r="A52" s="57">
        <v>46</v>
      </c>
      <c r="B52" s="98" t="s">
        <v>227</v>
      </c>
      <c r="C52" s="99">
        <v>0</v>
      </c>
      <c r="D52" s="99">
        <v>0</v>
      </c>
      <c r="E52" s="99">
        <v>7</v>
      </c>
      <c r="F52" s="99">
        <v>26</v>
      </c>
      <c r="G52" s="99">
        <v>0</v>
      </c>
      <c r="H52" s="99">
        <v>0</v>
      </c>
      <c r="I52" s="99">
        <v>9</v>
      </c>
      <c r="J52" s="99">
        <v>48</v>
      </c>
      <c r="K52" s="99">
        <v>0</v>
      </c>
      <c r="L52" s="99">
        <v>0</v>
      </c>
      <c r="M52" s="99">
        <v>0</v>
      </c>
      <c r="N52" s="99">
        <v>0</v>
      </c>
      <c r="O52" s="99">
        <v>0</v>
      </c>
      <c r="P52" s="99">
        <v>0</v>
      </c>
      <c r="Q52" s="99">
        <f t="shared" si="4"/>
        <v>16</v>
      </c>
      <c r="R52" s="99">
        <f t="shared" si="5"/>
        <v>74</v>
      </c>
      <c r="S52" s="114">
        <f>R52*100/'CD Ratio_3(i)'!F52</f>
        <v>1.4181216786727915</v>
      </c>
      <c r="U52" s="111">
        <v>74</v>
      </c>
      <c r="W52" s="111">
        <f t="shared" si="6"/>
        <v>0</v>
      </c>
    </row>
    <row r="53" spans="1:23" ht="15" customHeight="1" x14ac:dyDescent="0.2">
      <c r="A53" s="57">
        <v>47</v>
      </c>
      <c r="B53" s="98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f t="shared" si="4"/>
        <v>0</v>
      </c>
      <c r="R53" s="99">
        <f t="shared" si="5"/>
        <v>0</v>
      </c>
      <c r="S53" s="114">
        <f>R53*100/'CD Ratio_3(i)'!F53</f>
        <v>0</v>
      </c>
      <c r="U53" s="111">
        <v>0</v>
      </c>
      <c r="W53" s="111">
        <f t="shared" si="6"/>
        <v>0</v>
      </c>
    </row>
    <row r="54" spans="1:23" ht="15" customHeight="1" x14ac:dyDescent="0.2">
      <c r="A54" s="57">
        <v>48</v>
      </c>
      <c r="B54" s="98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f t="shared" si="4"/>
        <v>0</v>
      </c>
      <c r="R54" s="99">
        <f t="shared" si="5"/>
        <v>0</v>
      </c>
      <c r="S54" s="114">
        <f>R54*100/'CD Ratio_3(i)'!F54</f>
        <v>0</v>
      </c>
      <c r="U54" s="111">
        <v>0</v>
      </c>
      <c r="W54" s="111">
        <f t="shared" si="6"/>
        <v>0</v>
      </c>
    </row>
    <row r="55" spans="1:23" ht="15" customHeight="1" x14ac:dyDescent="0.2">
      <c r="A55" s="57">
        <v>49</v>
      </c>
      <c r="B55" s="98" t="s">
        <v>76</v>
      </c>
      <c r="C55" s="99">
        <v>12043</v>
      </c>
      <c r="D55" s="99">
        <v>6061</v>
      </c>
      <c r="E55" s="99">
        <v>0</v>
      </c>
      <c r="F55" s="99">
        <v>0</v>
      </c>
      <c r="G55" s="99">
        <v>7892</v>
      </c>
      <c r="H55" s="99">
        <v>7956</v>
      </c>
      <c r="I55" s="99">
        <v>34</v>
      </c>
      <c r="J55" s="99">
        <v>2274.11</v>
      </c>
      <c r="K55" s="99">
        <v>0</v>
      </c>
      <c r="L55" s="99">
        <v>0</v>
      </c>
      <c r="M55" s="99">
        <v>0</v>
      </c>
      <c r="N55" s="99">
        <v>0</v>
      </c>
      <c r="O55" s="99">
        <v>18167</v>
      </c>
      <c r="P55" s="99">
        <v>12526</v>
      </c>
      <c r="Q55" s="99">
        <f t="shared" si="4"/>
        <v>38136</v>
      </c>
      <c r="R55" s="99">
        <f t="shared" si="5"/>
        <v>28817.11</v>
      </c>
      <c r="S55" s="114">
        <f>R55*100/'CD Ratio_3(i)'!F55</f>
        <v>39.171777723404837</v>
      </c>
      <c r="U55" s="111">
        <v>28817.11</v>
      </c>
      <c r="W55" s="111">
        <f t="shared" si="6"/>
        <v>0</v>
      </c>
    </row>
    <row r="56" spans="1:23" ht="15" customHeight="1" x14ac:dyDescent="0.2">
      <c r="A56" s="60"/>
      <c r="B56" s="105" t="s">
        <v>289</v>
      </c>
      <c r="C56" s="106">
        <f>SUM(C34:C55)</f>
        <v>143585</v>
      </c>
      <c r="D56" s="106">
        <f t="shared" ref="D56:R56" si="7">SUM(D34:D55)</f>
        <v>134856.25</v>
      </c>
      <c r="E56" s="106">
        <f>SCST_OS_22!C56+SCST_OS_22!E56</f>
        <v>146144</v>
      </c>
      <c r="F56" s="106">
        <f>SCST_OS_22!D56+SCST_OS_22!F56</f>
        <v>88187.799999999988</v>
      </c>
      <c r="G56" s="106">
        <f t="shared" si="7"/>
        <v>14430</v>
      </c>
      <c r="H56" s="106">
        <f t="shared" si="7"/>
        <v>11013.81</v>
      </c>
      <c r="I56" s="106">
        <f>Minority_OS_20!O56</f>
        <v>55820</v>
      </c>
      <c r="J56" s="106">
        <f>Minority_OS_20!P56</f>
        <v>94970.829999999987</v>
      </c>
      <c r="K56" s="106">
        <f t="shared" si="7"/>
        <v>32</v>
      </c>
      <c r="L56" s="106">
        <f t="shared" si="7"/>
        <v>2</v>
      </c>
      <c r="M56" s="106">
        <f t="shared" si="7"/>
        <v>1</v>
      </c>
      <c r="N56" s="106">
        <f t="shared" si="7"/>
        <v>0.99</v>
      </c>
      <c r="O56" s="106">
        <f t="shared" si="7"/>
        <v>457478</v>
      </c>
      <c r="P56" s="106">
        <f t="shared" si="7"/>
        <v>172150.12</v>
      </c>
      <c r="Q56" s="106">
        <f t="shared" si="7"/>
        <v>772582</v>
      </c>
      <c r="R56" s="106">
        <f t="shared" si="7"/>
        <v>482096.05</v>
      </c>
      <c r="S56" s="115">
        <f>R56*100/'CD Ratio_3(i)'!F56</f>
        <v>13.120418360200379</v>
      </c>
      <c r="U56" s="111">
        <v>482096.05</v>
      </c>
      <c r="W56" s="111">
        <f t="shared" si="6"/>
        <v>0</v>
      </c>
    </row>
    <row r="57" spans="1:23" ht="15" customHeight="1" x14ac:dyDescent="0.2">
      <c r="A57" s="57">
        <v>48</v>
      </c>
      <c r="B57" s="58" t="s">
        <v>46</v>
      </c>
      <c r="C57" s="99">
        <v>45795</v>
      </c>
      <c r="D57" s="99">
        <v>63432.38</v>
      </c>
      <c r="E57" s="99">
        <v>61362</v>
      </c>
      <c r="F57" s="99">
        <v>54627</v>
      </c>
      <c r="G57" s="99">
        <v>13186</v>
      </c>
      <c r="H57" s="99">
        <v>3544.07</v>
      </c>
      <c r="I57" s="99">
        <v>33944</v>
      </c>
      <c r="J57" s="99">
        <v>24813</v>
      </c>
      <c r="K57" s="99">
        <v>1437</v>
      </c>
      <c r="L57" s="99">
        <v>2.92</v>
      </c>
      <c r="M57" s="99">
        <v>0</v>
      </c>
      <c r="N57" s="99">
        <v>0</v>
      </c>
      <c r="O57" s="99">
        <v>162772</v>
      </c>
      <c r="P57" s="99">
        <v>153080.54</v>
      </c>
      <c r="Q57" s="99">
        <f t="shared" ref="Q57:R59" si="8">C57+E57+G57+I57+K57+M57+O57</f>
        <v>318496</v>
      </c>
      <c r="R57" s="99">
        <f t="shared" si="8"/>
        <v>299499.91000000003</v>
      </c>
      <c r="S57" s="114">
        <f>R57*100/'CD Ratio_3(i)'!F57</f>
        <v>77.629867420069729</v>
      </c>
      <c r="U57" s="111">
        <v>299499.91000000003</v>
      </c>
      <c r="W57" s="111">
        <f t="shared" si="6"/>
        <v>0</v>
      </c>
    </row>
    <row r="58" spans="1:23" ht="15" customHeight="1" x14ac:dyDescent="0.2">
      <c r="A58" s="57">
        <v>49</v>
      </c>
      <c r="B58" s="58" t="s">
        <v>229</v>
      </c>
      <c r="C58" s="99">
        <v>135852</v>
      </c>
      <c r="D58" s="99">
        <v>72190</v>
      </c>
      <c r="E58" s="99">
        <v>74971</v>
      </c>
      <c r="F58" s="99">
        <v>28547</v>
      </c>
      <c r="G58" s="99">
        <v>5624</v>
      </c>
      <c r="H58" s="99">
        <v>1212</v>
      </c>
      <c r="I58" s="99">
        <v>38069</v>
      </c>
      <c r="J58" s="99">
        <v>12460</v>
      </c>
      <c r="K58" s="99">
        <v>0</v>
      </c>
      <c r="L58" s="99">
        <v>0</v>
      </c>
      <c r="M58" s="99">
        <v>0</v>
      </c>
      <c r="N58" s="99">
        <v>0</v>
      </c>
      <c r="O58" s="99">
        <v>35074</v>
      </c>
      <c r="P58" s="99">
        <v>64192</v>
      </c>
      <c r="Q58" s="99">
        <f t="shared" si="8"/>
        <v>289590</v>
      </c>
      <c r="R58" s="99">
        <f t="shared" si="8"/>
        <v>178601</v>
      </c>
      <c r="S58" s="114">
        <f>R58*100/'CD Ratio_3(i)'!F58</f>
        <v>71.322575105925011</v>
      </c>
      <c r="U58" s="111">
        <v>178601</v>
      </c>
      <c r="W58" s="111">
        <f t="shared" si="6"/>
        <v>0</v>
      </c>
    </row>
    <row r="59" spans="1:23" ht="15" customHeight="1" x14ac:dyDescent="0.2">
      <c r="A59" s="57">
        <v>50</v>
      </c>
      <c r="B59" s="58" t="s">
        <v>52</v>
      </c>
      <c r="C59" s="99">
        <v>36819</v>
      </c>
      <c r="D59" s="99">
        <v>35116.660000000003</v>
      </c>
      <c r="E59" s="99">
        <v>59610</v>
      </c>
      <c r="F59" s="99">
        <v>31153.21</v>
      </c>
      <c r="G59" s="99">
        <v>17651</v>
      </c>
      <c r="H59" s="99">
        <v>16226.05</v>
      </c>
      <c r="I59" s="99">
        <v>21759</v>
      </c>
      <c r="J59" s="99">
        <v>14675.37</v>
      </c>
      <c r="K59" s="99">
        <v>10705</v>
      </c>
      <c r="L59" s="99">
        <v>309.60000000000002</v>
      </c>
      <c r="M59" s="99">
        <v>0</v>
      </c>
      <c r="N59" s="99">
        <v>0</v>
      </c>
      <c r="O59" s="99">
        <v>0</v>
      </c>
      <c r="P59" s="99">
        <v>0</v>
      </c>
      <c r="Q59" s="99">
        <f t="shared" si="8"/>
        <v>146544</v>
      </c>
      <c r="R59" s="99">
        <f t="shared" si="8"/>
        <v>97480.89</v>
      </c>
      <c r="S59" s="114">
        <f>R59*100/'CD Ratio_3(i)'!F59</f>
        <v>23.033801345910284</v>
      </c>
      <c r="U59" s="111">
        <v>97480.89</v>
      </c>
      <c r="W59" s="111">
        <f t="shared" si="6"/>
        <v>0</v>
      </c>
    </row>
    <row r="60" spans="1:23" s="108" customFormat="1" x14ac:dyDescent="0.2">
      <c r="A60" s="317"/>
      <c r="B60" s="60" t="s">
        <v>295</v>
      </c>
      <c r="C60" s="106">
        <f>SUM(C57:C59)</f>
        <v>218466</v>
      </c>
      <c r="D60" s="106">
        <f t="shared" ref="D60:R60" si="9">SUM(D57:D59)</f>
        <v>170739.04</v>
      </c>
      <c r="E60" s="106">
        <f>SCST_OS_22!C60+SCST_OS_22!E60</f>
        <v>201330</v>
      </c>
      <c r="F60" s="106">
        <f>SCST_OS_22!D60+SCST_OS_22!F60</f>
        <v>114327.21</v>
      </c>
      <c r="G60" s="106">
        <f t="shared" si="9"/>
        <v>36461</v>
      </c>
      <c r="H60" s="106">
        <f t="shared" si="9"/>
        <v>20982.12</v>
      </c>
      <c r="I60" s="106">
        <f>Minority_OS_20!O60</f>
        <v>93772</v>
      </c>
      <c r="J60" s="106">
        <f>Minority_OS_20!P60</f>
        <v>51948.369999999995</v>
      </c>
      <c r="K60" s="106">
        <f t="shared" si="9"/>
        <v>12142</v>
      </c>
      <c r="L60" s="106">
        <f t="shared" si="9"/>
        <v>312.52000000000004</v>
      </c>
      <c r="M60" s="106">
        <f t="shared" si="9"/>
        <v>0</v>
      </c>
      <c r="N60" s="106">
        <f t="shared" si="9"/>
        <v>0</v>
      </c>
      <c r="O60" s="106">
        <f t="shared" si="9"/>
        <v>197846</v>
      </c>
      <c r="P60" s="106">
        <f t="shared" si="9"/>
        <v>217272.54</v>
      </c>
      <c r="Q60" s="106">
        <f t="shared" si="9"/>
        <v>754630</v>
      </c>
      <c r="R60" s="106">
        <f t="shared" si="9"/>
        <v>575581.80000000005</v>
      </c>
      <c r="S60" s="115">
        <f>R60*100/'CD Ratio_3(i)'!F60</f>
        <v>54.329589796738993</v>
      </c>
      <c r="U60" s="112">
        <v>575581.80000000005</v>
      </c>
      <c r="W60" s="111">
        <f t="shared" si="6"/>
        <v>0</v>
      </c>
    </row>
    <row r="61" spans="1:23" x14ac:dyDescent="0.2">
      <c r="A61" s="57">
        <v>51</v>
      </c>
      <c r="B61" s="58" t="s">
        <v>290</v>
      </c>
      <c r="C61" s="99">
        <v>0</v>
      </c>
      <c r="D61" s="99">
        <v>432151.26</v>
      </c>
      <c r="E61" s="99">
        <f>SCST_OS_22!C61+SCST_OS_22!E61</f>
        <v>325554</v>
      </c>
      <c r="F61" s="99">
        <f>SCST_OS_22!D61+SCST_OS_22!F61</f>
        <v>195130</v>
      </c>
      <c r="G61" s="99">
        <v>11201</v>
      </c>
      <c r="H61" s="99">
        <v>1268.6199999999999</v>
      </c>
      <c r="I61" s="99">
        <v>60362</v>
      </c>
      <c r="J61" s="99">
        <v>24144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f>C61+E61+G61+I61+K61+M61+O61</f>
        <v>397117</v>
      </c>
      <c r="R61" s="99">
        <f>D61+F61+H61+J61+L61+N61+P61</f>
        <v>652693.88</v>
      </c>
      <c r="S61" s="114">
        <f>R61*100/'CD Ratio_3(i)'!F61</f>
        <v>27.036020750868623</v>
      </c>
      <c r="U61" s="111">
        <v>265434.62</v>
      </c>
      <c r="W61" s="111">
        <f t="shared" si="6"/>
        <v>-387259.26</v>
      </c>
    </row>
    <row r="62" spans="1:23" x14ac:dyDescent="0.2">
      <c r="A62" s="57"/>
      <c r="B62" s="60" t="s">
        <v>291</v>
      </c>
      <c r="C62" s="106">
        <f>C61</f>
        <v>0</v>
      </c>
      <c r="D62" s="106">
        <f t="shared" ref="D62:R62" si="10">D61</f>
        <v>432151.26</v>
      </c>
      <c r="E62" s="106">
        <f>SCST_OS_22!C62+SCST_OS_22!E62</f>
        <v>325554</v>
      </c>
      <c r="F62" s="106">
        <f>SCST_OS_22!D62+SCST_OS_22!F62</f>
        <v>195130</v>
      </c>
      <c r="G62" s="106">
        <f t="shared" si="10"/>
        <v>11201</v>
      </c>
      <c r="H62" s="106">
        <f t="shared" si="10"/>
        <v>1268.6199999999999</v>
      </c>
      <c r="I62" s="99">
        <f>Minority_OS_20!O62</f>
        <v>52658</v>
      </c>
      <c r="J62" s="99">
        <f>Minority_OS_20!P62</f>
        <v>21058.93</v>
      </c>
      <c r="K62" s="106">
        <f t="shared" si="10"/>
        <v>0</v>
      </c>
      <c r="L62" s="106">
        <f t="shared" si="10"/>
        <v>0</v>
      </c>
      <c r="M62" s="106">
        <f t="shared" si="10"/>
        <v>0</v>
      </c>
      <c r="N62" s="106">
        <f t="shared" si="10"/>
        <v>0</v>
      </c>
      <c r="O62" s="106">
        <f t="shared" si="10"/>
        <v>0</v>
      </c>
      <c r="P62" s="106">
        <f t="shared" si="10"/>
        <v>0</v>
      </c>
      <c r="Q62" s="106">
        <f t="shared" si="10"/>
        <v>397117</v>
      </c>
      <c r="R62" s="106">
        <f t="shared" si="10"/>
        <v>652693.88</v>
      </c>
      <c r="S62" s="115">
        <f>R62*100/'CD Ratio_3(i)'!F62</f>
        <v>27.036020750868623</v>
      </c>
      <c r="U62" s="111">
        <v>265434.62</v>
      </c>
      <c r="W62" s="111">
        <f t="shared" si="6"/>
        <v>-387259.26</v>
      </c>
    </row>
    <row r="63" spans="1:23" s="108" customFormat="1" x14ac:dyDescent="0.2">
      <c r="A63" s="317"/>
      <c r="B63" s="60" t="s">
        <v>292</v>
      </c>
      <c r="C63" s="106">
        <f>C62+C60+C56+C33</f>
        <v>1631309</v>
      </c>
      <c r="D63" s="106">
        <f t="shared" ref="D63:R63" si="11">D62+D60+D56+D33</f>
        <v>2513372</v>
      </c>
      <c r="E63" s="106">
        <f>SCST_OS_22!C63+SCST_OS_22!E63</f>
        <v>1366588</v>
      </c>
      <c r="F63" s="106">
        <f>SCST_OS_22!D63+SCST_OS_22!F63</f>
        <v>1439181.19</v>
      </c>
      <c r="G63" s="106">
        <f t="shared" si="11"/>
        <v>93640</v>
      </c>
      <c r="H63" s="106">
        <f t="shared" si="11"/>
        <v>62828.33</v>
      </c>
      <c r="I63" s="106">
        <f>Minority_OS_20!O63</f>
        <v>471575</v>
      </c>
      <c r="J63" s="106">
        <f>Minority_OS_20!P63</f>
        <v>787996.92</v>
      </c>
      <c r="K63" s="106">
        <f t="shared" si="11"/>
        <v>181952</v>
      </c>
      <c r="L63" s="106">
        <f t="shared" si="11"/>
        <v>7881.29</v>
      </c>
      <c r="M63" s="106">
        <f t="shared" si="11"/>
        <v>7000</v>
      </c>
      <c r="N63" s="106">
        <f t="shared" si="11"/>
        <v>1471.4299999999998</v>
      </c>
      <c r="O63" s="106">
        <f t="shared" si="11"/>
        <v>739926</v>
      </c>
      <c r="P63" s="106">
        <f t="shared" si="11"/>
        <v>503370.23999999999</v>
      </c>
      <c r="Q63" s="106">
        <f t="shared" si="11"/>
        <v>4451451</v>
      </c>
      <c r="R63" s="106">
        <f t="shared" si="11"/>
        <v>5317137.5699999994</v>
      </c>
      <c r="S63" s="115">
        <f>R63*100/'CD Ratio_3(i)'!F63</f>
        <v>23.959528647398624</v>
      </c>
      <c r="U63" s="112">
        <v>4929878.3099999996</v>
      </c>
      <c r="W63" s="111">
        <f t="shared" si="6"/>
        <v>-387259.25999999978</v>
      </c>
    </row>
    <row r="66" spans="4:4" x14ac:dyDescent="0.2">
      <c r="D66" s="109"/>
    </row>
  </sheetData>
  <mergeCells count="12">
    <mergeCell ref="Q4:R4"/>
    <mergeCell ref="C3:S3"/>
    <mergeCell ref="A1:S1"/>
    <mergeCell ref="A3:A5"/>
    <mergeCell ref="B3:B5"/>
    <mergeCell ref="C4:D4"/>
    <mergeCell ref="E4:F4"/>
    <mergeCell ref="G4:H4"/>
    <mergeCell ref="I4:J4"/>
    <mergeCell ref="K4:L4"/>
    <mergeCell ref="M4:N4"/>
    <mergeCell ref="O4:P4"/>
  </mergeCells>
  <conditionalFormatting sqref="B6">
    <cfRule type="duplicateValues" dxfId="167" priority="5"/>
  </conditionalFormatting>
  <conditionalFormatting sqref="B22">
    <cfRule type="duplicateValues" dxfId="166" priority="6"/>
  </conditionalFormatting>
  <conditionalFormatting sqref="B33:B34 B26:B30">
    <cfRule type="duplicateValues" dxfId="165" priority="7"/>
  </conditionalFormatting>
  <conditionalFormatting sqref="B52">
    <cfRule type="duplicateValues" dxfId="164" priority="8"/>
  </conditionalFormatting>
  <conditionalFormatting sqref="B56">
    <cfRule type="duplicateValues" dxfId="163" priority="9"/>
  </conditionalFormatting>
  <conditionalFormatting sqref="B58">
    <cfRule type="duplicateValues" dxfId="162" priority="10"/>
  </conditionalFormatting>
  <conditionalFormatting sqref="C1:S1048576">
    <cfRule type="cellIs" dxfId="161" priority="4" stopIfTrue="1" operator="lessThan">
      <formula>0</formula>
    </cfRule>
  </conditionalFormatting>
  <conditionalFormatting sqref="S1:S1048576">
    <cfRule type="cellIs" dxfId="160" priority="3" stopIfTrue="1" operator="lessThan">
      <formula>10</formula>
    </cfRule>
  </conditionalFormatting>
  <conditionalFormatting sqref="W1:W1048576">
    <cfRule type="cellIs" dxfId="159" priority="1" operator="lessThan">
      <formula>0</formula>
    </cfRule>
    <cfRule type="cellIs" dxfId="158" priority="2" operator="greaterThan">
      <formula>0</formula>
    </cfRule>
  </conditionalFormatting>
  <pageMargins left="0.2" right="0.2" top="0.25" bottom="0.25" header="0.3" footer="0.3"/>
  <pageSetup paperSize="9" scale="65" orientation="portrait" r:id="rId1"/>
  <headerFooter>
    <oddFooter>&amp;CData Table, State Level Banker's Committee, M.P. as on 31.12.2016 Page No. 81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75"/>
  <sheetViews>
    <sheetView view="pageBreakPreview" zoomScale="60" zoomScaleNormal="100" workbookViewId="0">
      <pane xSplit="2" ySplit="5" topLeftCell="G46" activePane="bottomRight" state="frozen"/>
      <selection pane="topRight" activeCell="C1" sqref="C1"/>
      <selection pane="bottomLeft" activeCell="A8" sqref="A8"/>
      <selection pane="bottomRight" activeCell="O84" sqref="O84"/>
    </sheetView>
  </sheetViews>
  <sheetFormatPr defaultColWidth="4.42578125" defaultRowHeight="13.5" x14ac:dyDescent="0.2"/>
  <cols>
    <col min="1" max="1" width="4.42578125" style="111"/>
    <col min="2" max="2" width="22.5703125" style="111" customWidth="1"/>
    <col min="3" max="3" width="6.85546875" style="111" customWidth="1"/>
    <col min="4" max="4" width="7.140625" style="111" customWidth="1"/>
    <col min="5" max="5" width="7.7109375" style="111" bestFit="1" customWidth="1"/>
    <col min="6" max="6" width="9" style="111" bestFit="1" customWidth="1"/>
    <col min="7" max="7" width="6.28515625" style="111" bestFit="1" customWidth="1"/>
    <col min="8" max="8" width="8" style="111" customWidth="1"/>
    <col min="9" max="9" width="6.140625" style="111" bestFit="1" customWidth="1"/>
    <col min="10" max="10" width="7.85546875" style="111" customWidth="1"/>
    <col min="11" max="11" width="7.28515625" style="111" bestFit="1" customWidth="1"/>
    <col min="12" max="12" width="7.7109375" style="111" customWidth="1"/>
    <col min="13" max="13" width="7.5703125" style="111" customWidth="1"/>
    <col min="14" max="14" width="7.85546875" style="111" customWidth="1"/>
    <col min="15" max="15" width="7.7109375" style="111" customWidth="1"/>
    <col min="16" max="16" width="8.140625" style="111" customWidth="1"/>
    <col min="17" max="17" width="8.42578125" style="111" customWidth="1"/>
    <col min="18" max="18" width="8.28515625" style="111" customWidth="1"/>
    <col min="19" max="19" width="7.7109375" style="111" customWidth="1"/>
    <col min="20" max="20" width="8.7109375" style="111" customWidth="1"/>
    <col min="21" max="21" width="8.140625" style="111" customWidth="1"/>
    <col min="22" max="22" width="9.5703125" style="111" customWidth="1"/>
    <col min="23" max="25" width="9" style="111" hidden="1" customWidth="1"/>
    <col min="26" max="26" width="8" style="111" hidden="1" customWidth="1"/>
    <col min="27" max="27" width="4.42578125" style="111" hidden="1" customWidth="1"/>
    <col min="28" max="28" width="8" style="111" bestFit="1" customWidth="1"/>
    <col min="29" max="32" width="4.42578125" style="111" customWidth="1"/>
    <col min="33" max="33" width="9.42578125" style="111" customWidth="1"/>
    <col min="34" max="16384" width="4.42578125" style="111"/>
  </cols>
  <sheetData>
    <row r="1" spans="1:26" ht="15.75" x14ac:dyDescent="0.2">
      <c r="A1" s="484" t="s">
        <v>359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6" ht="13.5" customHeight="1" x14ac:dyDescent="0.2">
      <c r="A2" s="485" t="s">
        <v>120</v>
      </c>
      <c r="B2" s="485" t="s">
        <v>100</v>
      </c>
      <c r="C2" s="480" t="s">
        <v>266</v>
      </c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2"/>
    </row>
    <row r="3" spans="1:26" ht="15" customHeight="1" x14ac:dyDescent="0.2">
      <c r="A3" s="485"/>
      <c r="B3" s="485"/>
      <c r="C3" s="486" t="s">
        <v>153</v>
      </c>
      <c r="D3" s="487"/>
      <c r="E3" s="479" t="s">
        <v>24</v>
      </c>
      <c r="F3" s="479"/>
      <c r="G3" s="479"/>
      <c r="H3" s="479"/>
      <c r="I3" s="479"/>
      <c r="J3" s="479"/>
      <c r="K3" s="479"/>
      <c r="L3" s="479"/>
      <c r="M3" s="479" t="s">
        <v>136</v>
      </c>
      <c r="N3" s="479"/>
      <c r="O3" s="487" t="s">
        <v>137</v>
      </c>
      <c r="P3" s="490"/>
      <c r="Q3" s="479" t="s">
        <v>154</v>
      </c>
      <c r="R3" s="479"/>
      <c r="S3" s="479" t="s">
        <v>131</v>
      </c>
      <c r="T3" s="479"/>
      <c r="U3" s="479" t="s">
        <v>155</v>
      </c>
      <c r="V3" s="479"/>
    </row>
    <row r="4" spans="1:26" ht="20.100000000000001" customHeight="1" x14ac:dyDescent="0.2">
      <c r="A4" s="485"/>
      <c r="B4" s="485"/>
      <c r="C4" s="488"/>
      <c r="D4" s="489"/>
      <c r="E4" s="480" t="s">
        <v>127</v>
      </c>
      <c r="F4" s="482"/>
      <c r="G4" s="480" t="s">
        <v>128</v>
      </c>
      <c r="H4" s="482"/>
      <c r="I4" s="480" t="s">
        <v>129</v>
      </c>
      <c r="J4" s="482"/>
      <c r="K4" s="480" t="s">
        <v>156</v>
      </c>
      <c r="L4" s="481"/>
      <c r="M4" s="479"/>
      <c r="N4" s="479"/>
      <c r="O4" s="489"/>
      <c r="P4" s="491"/>
      <c r="Q4" s="479"/>
      <c r="R4" s="479"/>
      <c r="S4" s="479"/>
      <c r="T4" s="479"/>
      <c r="U4" s="479"/>
      <c r="V4" s="479"/>
    </row>
    <row r="5" spans="1:26" ht="15" customHeight="1" x14ac:dyDescent="0.2">
      <c r="A5" s="485"/>
      <c r="B5" s="485"/>
      <c r="C5" s="357" t="s">
        <v>264</v>
      </c>
      <c r="D5" s="357" t="s">
        <v>263</v>
      </c>
      <c r="E5" s="357" t="s">
        <v>264</v>
      </c>
      <c r="F5" s="357" t="s">
        <v>263</v>
      </c>
      <c r="G5" s="357" t="s">
        <v>264</v>
      </c>
      <c r="H5" s="357" t="s">
        <v>263</v>
      </c>
      <c r="I5" s="357" t="s">
        <v>264</v>
      </c>
      <c r="J5" s="357" t="s">
        <v>263</v>
      </c>
      <c r="K5" s="357" t="s">
        <v>264</v>
      </c>
      <c r="L5" s="357" t="s">
        <v>263</v>
      </c>
      <c r="M5" s="357" t="s">
        <v>264</v>
      </c>
      <c r="N5" s="357" t="s">
        <v>263</v>
      </c>
      <c r="O5" s="357" t="s">
        <v>264</v>
      </c>
      <c r="P5" s="357" t="s">
        <v>263</v>
      </c>
      <c r="Q5" s="357" t="s">
        <v>264</v>
      </c>
      <c r="R5" s="357" t="s">
        <v>263</v>
      </c>
      <c r="S5" s="357" t="s">
        <v>264</v>
      </c>
      <c r="T5" s="357" t="s">
        <v>263</v>
      </c>
      <c r="U5" s="357" t="s">
        <v>264</v>
      </c>
      <c r="V5" s="357" t="s">
        <v>263</v>
      </c>
      <c r="W5" s="111" t="s">
        <v>267</v>
      </c>
      <c r="X5" s="111" t="s">
        <v>1</v>
      </c>
      <c r="Y5" s="111" t="s">
        <v>301</v>
      </c>
      <c r="Z5" s="111" t="s">
        <v>268</v>
      </c>
    </row>
    <row r="6" spans="1:26" ht="15" customHeight="1" x14ac:dyDescent="0.2">
      <c r="A6" s="119">
        <v>1</v>
      </c>
      <c r="B6" s="99" t="s">
        <v>55</v>
      </c>
      <c r="C6" s="99">
        <v>0</v>
      </c>
      <c r="D6" s="99">
        <v>0</v>
      </c>
      <c r="E6" s="99">
        <v>4</v>
      </c>
      <c r="F6" s="99">
        <v>73</v>
      </c>
      <c r="G6" s="99">
        <v>8</v>
      </c>
      <c r="H6" s="99">
        <v>2003.39</v>
      </c>
      <c r="I6" s="99">
        <v>2</v>
      </c>
      <c r="J6" s="99">
        <v>2243</v>
      </c>
      <c r="K6" s="99">
        <f>E6+G6+I6</f>
        <v>14</v>
      </c>
      <c r="L6" s="99">
        <f>F6+H6+J6</f>
        <v>4319.3900000000003</v>
      </c>
      <c r="M6" s="99">
        <v>11</v>
      </c>
      <c r="N6" s="99">
        <v>122</v>
      </c>
      <c r="O6" s="99">
        <v>0</v>
      </c>
      <c r="P6" s="99">
        <v>0</v>
      </c>
      <c r="Q6" s="99">
        <v>3915</v>
      </c>
      <c r="R6" s="99">
        <v>2154</v>
      </c>
      <c r="S6" s="99">
        <v>12235</v>
      </c>
      <c r="T6" s="99">
        <f>286664-122-1012</f>
        <v>285530</v>
      </c>
      <c r="U6" s="99">
        <f>C6+K6+M6+O6+Q6+S6</f>
        <v>16175</v>
      </c>
      <c r="V6" s="99">
        <f>T6+R6+P6+N6+L6+D6</f>
        <v>292125.39</v>
      </c>
      <c r="W6" s="111">
        <f>'Pri Sec_outstanding_6'!Q6</f>
        <v>429025.61</v>
      </c>
      <c r="X6" s="111">
        <f>V6+W6</f>
        <v>721151</v>
      </c>
      <c r="Y6" s="111">
        <f>'CD Ratio_3(i)'!F6</f>
        <v>721151</v>
      </c>
      <c r="Z6" s="111">
        <f>X6-Y6</f>
        <v>0</v>
      </c>
    </row>
    <row r="7" spans="1:26" ht="15" customHeight="1" x14ac:dyDescent="0.2">
      <c r="A7" s="119">
        <v>2</v>
      </c>
      <c r="B7" s="99" t="s">
        <v>56</v>
      </c>
      <c r="C7" s="99">
        <v>0</v>
      </c>
      <c r="D7" s="99">
        <v>0</v>
      </c>
      <c r="E7" s="99">
        <v>3</v>
      </c>
      <c r="F7" s="99">
        <v>915</v>
      </c>
      <c r="G7" s="99">
        <v>0</v>
      </c>
      <c r="H7" s="99">
        <v>0</v>
      </c>
      <c r="I7" s="99">
        <v>0</v>
      </c>
      <c r="J7" s="99">
        <v>0</v>
      </c>
      <c r="K7" s="99">
        <f t="shared" ref="K7:K61" si="0">E7+G7+I7</f>
        <v>3</v>
      </c>
      <c r="L7" s="99">
        <f t="shared" ref="L7:L61" si="1">F7+H7+J7</f>
        <v>915</v>
      </c>
      <c r="M7" s="99">
        <v>8</v>
      </c>
      <c r="N7" s="99">
        <v>140</v>
      </c>
      <c r="O7" s="99">
        <v>49</v>
      </c>
      <c r="P7" s="99">
        <v>1971</v>
      </c>
      <c r="Q7" s="99">
        <v>165</v>
      </c>
      <c r="R7" s="99">
        <v>225.12</v>
      </c>
      <c r="S7" s="99">
        <v>743</v>
      </c>
      <c r="T7" s="99">
        <v>23132.75</v>
      </c>
      <c r="U7" s="99">
        <f t="shared" ref="U7:U63" si="2">C7+K7+M7+O7+Q7+S7</f>
        <v>968</v>
      </c>
      <c r="V7" s="99">
        <f t="shared" ref="V7:V63" si="3">T7+R7+P7+N7+L7+D7</f>
        <v>26383.87</v>
      </c>
      <c r="W7" s="111">
        <f>'Pri Sec_outstanding_6'!Q7</f>
        <v>37418.31</v>
      </c>
      <c r="X7" s="111">
        <f t="shared" ref="X7:X63" si="4">V7+W7</f>
        <v>63802.179999999993</v>
      </c>
      <c r="Y7" s="111">
        <f>'CD Ratio_3(i)'!F7</f>
        <v>63802.18</v>
      </c>
      <c r="Z7" s="111">
        <f t="shared" ref="Z7:Z63" si="5">X7-Y7</f>
        <v>0</v>
      </c>
    </row>
    <row r="8" spans="1:26" ht="15" customHeight="1" x14ac:dyDescent="0.2">
      <c r="A8" s="119">
        <v>3</v>
      </c>
      <c r="B8" s="99" t="s">
        <v>57</v>
      </c>
      <c r="C8" s="99">
        <v>0</v>
      </c>
      <c r="D8" s="99">
        <v>0</v>
      </c>
      <c r="E8" s="99">
        <v>1</v>
      </c>
      <c r="F8" s="99">
        <v>1</v>
      </c>
      <c r="G8" s="99">
        <v>138</v>
      </c>
      <c r="H8" s="99">
        <v>11657</v>
      </c>
      <c r="I8" s="99">
        <v>195</v>
      </c>
      <c r="J8" s="99">
        <v>45351</v>
      </c>
      <c r="K8" s="99">
        <f t="shared" si="0"/>
        <v>334</v>
      </c>
      <c r="L8" s="99">
        <f t="shared" si="1"/>
        <v>57009</v>
      </c>
      <c r="M8" s="99">
        <v>118</v>
      </c>
      <c r="N8" s="99">
        <v>1539</v>
      </c>
      <c r="O8" s="99">
        <v>736</v>
      </c>
      <c r="P8" s="99">
        <v>22005</v>
      </c>
      <c r="Q8" s="99">
        <v>1995</v>
      </c>
      <c r="R8" s="99">
        <v>2522</v>
      </c>
      <c r="S8" s="99">
        <v>5945</v>
      </c>
      <c r="T8" s="99">
        <v>31700</v>
      </c>
      <c r="U8" s="99">
        <f t="shared" si="2"/>
        <v>9128</v>
      </c>
      <c r="V8" s="99">
        <f t="shared" si="3"/>
        <v>114775</v>
      </c>
      <c r="W8" s="111">
        <f>'Pri Sec_outstanding_6'!Q8</f>
        <v>576050</v>
      </c>
      <c r="X8" s="111">
        <f t="shared" si="4"/>
        <v>690825</v>
      </c>
      <c r="Y8" s="111">
        <f>'CD Ratio_3(i)'!F8</f>
        <v>690825</v>
      </c>
      <c r="Z8" s="111">
        <f t="shared" si="5"/>
        <v>0</v>
      </c>
    </row>
    <row r="9" spans="1:26" ht="15" customHeight="1" x14ac:dyDescent="0.2">
      <c r="A9" s="119">
        <v>4</v>
      </c>
      <c r="B9" s="99" t="s">
        <v>58</v>
      </c>
      <c r="C9" s="99">
        <v>16979</v>
      </c>
      <c r="D9" s="99">
        <v>70932</v>
      </c>
      <c r="E9" s="99">
        <v>15</v>
      </c>
      <c r="F9" s="99">
        <v>2523</v>
      </c>
      <c r="G9" s="99">
        <v>68</v>
      </c>
      <c r="H9" s="99">
        <v>21297</v>
      </c>
      <c r="I9" s="99">
        <v>19</v>
      </c>
      <c r="J9" s="99">
        <v>10889</v>
      </c>
      <c r="K9" s="99">
        <f t="shared" si="0"/>
        <v>102</v>
      </c>
      <c r="L9" s="99">
        <f t="shared" si="1"/>
        <v>34709</v>
      </c>
      <c r="M9" s="99">
        <v>138</v>
      </c>
      <c r="N9" s="99">
        <v>194</v>
      </c>
      <c r="O9" s="99">
        <v>4688</v>
      </c>
      <c r="P9" s="99">
        <v>48574</v>
      </c>
      <c r="Q9" s="99">
        <v>4351</v>
      </c>
      <c r="R9" s="99">
        <v>13425</v>
      </c>
      <c r="S9" s="99">
        <v>58439</v>
      </c>
      <c r="T9" s="99">
        <f>288380-42133-89</f>
        <v>246158</v>
      </c>
      <c r="U9" s="99">
        <f t="shared" si="2"/>
        <v>84697</v>
      </c>
      <c r="V9" s="99">
        <f t="shared" si="3"/>
        <v>413992</v>
      </c>
      <c r="W9" s="111">
        <f>'Pri Sec_outstanding_6'!Q9</f>
        <v>1329451</v>
      </c>
      <c r="X9" s="111">
        <f t="shared" si="4"/>
        <v>1743443</v>
      </c>
      <c r="Y9" s="111">
        <f>'CD Ratio_3(i)'!F9</f>
        <v>1743443</v>
      </c>
      <c r="Z9" s="111">
        <f t="shared" si="5"/>
        <v>0</v>
      </c>
    </row>
    <row r="10" spans="1:26" ht="15" customHeight="1" x14ac:dyDescent="0.2">
      <c r="A10" s="119">
        <v>5</v>
      </c>
      <c r="B10" s="99" t="s">
        <v>59</v>
      </c>
      <c r="C10" s="99">
        <v>1</v>
      </c>
      <c r="D10" s="99">
        <v>8463.2999999999993</v>
      </c>
      <c r="E10" s="99">
        <v>540</v>
      </c>
      <c r="F10" s="99">
        <v>2853.06</v>
      </c>
      <c r="G10" s="99">
        <v>22</v>
      </c>
      <c r="H10" s="99">
        <v>1838.99</v>
      </c>
      <c r="I10" s="99">
        <v>0</v>
      </c>
      <c r="J10" s="99">
        <v>0</v>
      </c>
      <c r="K10" s="99">
        <f t="shared" si="0"/>
        <v>562</v>
      </c>
      <c r="L10" s="99">
        <f t="shared" si="1"/>
        <v>4692.05</v>
      </c>
      <c r="M10" s="99">
        <v>192</v>
      </c>
      <c r="N10" s="99">
        <v>781.53</v>
      </c>
      <c r="O10" s="99">
        <v>544</v>
      </c>
      <c r="P10" s="99">
        <v>12961.76</v>
      </c>
      <c r="Q10" s="99">
        <v>5416</v>
      </c>
      <c r="R10" s="99">
        <v>14951.45</v>
      </c>
      <c r="S10" s="99">
        <v>1138</v>
      </c>
      <c r="T10" s="99">
        <f>31812.51-7479</f>
        <v>24333.51</v>
      </c>
      <c r="U10" s="99">
        <f t="shared" si="2"/>
        <v>7853</v>
      </c>
      <c r="V10" s="99">
        <f t="shared" si="3"/>
        <v>66183.600000000006</v>
      </c>
      <c r="W10" s="111">
        <f>'Pri Sec_outstanding_6'!Q10</f>
        <v>231352.4</v>
      </c>
      <c r="X10" s="111">
        <f t="shared" si="4"/>
        <v>297536</v>
      </c>
      <c r="Y10" s="111">
        <f>'CD Ratio_3(i)'!F10</f>
        <v>297536</v>
      </c>
      <c r="Z10" s="111">
        <f t="shared" si="5"/>
        <v>0</v>
      </c>
    </row>
    <row r="11" spans="1:26" ht="15" customHeight="1" x14ac:dyDescent="0.2">
      <c r="A11" s="119">
        <v>6</v>
      </c>
      <c r="B11" s="120" t="s">
        <v>242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1</v>
      </c>
      <c r="J11" s="99">
        <v>88</v>
      </c>
      <c r="K11" s="99">
        <f t="shared" si="0"/>
        <v>1</v>
      </c>
      <c r="L11" s="99">
        <f t="shared" si="1"/>
        <v>88</v>
      </c>
      <c r="M11" s="99">
        <v>0</v>
      </c>
      <c r="N11" s="99">
        <v>0</v>
      </c>
      <c r="O11" s="99">
        <v>1</v>
      </c>
      <c r="P11" s="99">
        <v>5</v>
      </c>
      <c r="Q11" s="99">
        <v>0</v>
      </c>
      <c r="R11" s="99">
        <v>0</v>
      </c>
      <c r="S11" s="99">
        <v>0</v>
      </c>
      <c r="T11" s="99">
        <v>0</v>
      </c>
      <c r="U11" s="99">
        <f t="shared" si="2"/>
        <v>2</v>
      </c>
      <c r="V11" s="99">
        <f t="shared" si="3"/>
        <v>93</v>
      </c>
      <c r="W11" s="111">
        <f>'Pri Sec_outstanding_6'!Q11</f>
        <v>561.4</v>
      </c>
      <c r="X11" s="111">
        <f t="shared" si="4"/>
        <v>654.4</v>
      </c>
      <c r="Y11" s="111">
        <f>'CD Ratio_3(i)'!F11</f>
        <v>654</v>
      </c>
      <c r="Z11" s="111">
        <f t="shared" si="5"/>
        <v>0.39999999999997726</v>
      </c>
    </row>
    <row r="12" spans="1:26" ht="15" customHeight="1" x14ac:dyDescent="0.2">
      <c r="A12" s="119">
        <v>7</v>
      </c>
      <c r="B12" s="99" t="s">
        <v>60</v>
      </c>
      <c r="C12" s="99">
        <v>0</v>
      </c>
      <c r="D12" s="99">
        <v>0</v>
      </c>
      <c r="E12" s="99">
        <v>0</v>
      </c>
      <c r="F12" s="99">
        <v>0</v>
      </c>
      <c r="G12" s="99">
        <v>0</v>
      </c>
      <c r="H12" s="99">
        <v>0</v>
      </c>
      <c r="I12" s="99">
        <v>48</v>
      </c>
      <c r="J12" s="99">
        <v>8121</v>
      </c>
      <c r="K12" s="99">
        <f t="shared" si="0"/>
        <v>48</v>
      </c>
      <c r="L12" s="99">
        <f t="shared" si="1"/>
        <v>8121</v>
      </c>
      <c r="M12" s="99">
        <v>119</v>
      </c>
      <c r="N12" s="99">
        <v>699</v>
      </c>
      <c r="O12" s="99">
        <v>1287</v>
      </c>
      <c r="P12" s="99">
        <v>26307</v>
      </c>
      <c r="Q12" s="99">
        <v>7</v>
      </c>
      <c r="R12" s="99">
        <v>9</v>
      </c>
      <c r="S12" s="99">
        <v>3309</v>
      </c>
      <c r="T12" s="99">
        <v>41431</v>
      </c>
      <c r="U12" s="99">
        <f t="shared" si="2"/>
        <v>4770</v>
      </c>
      <c r="V12" s="99">
        <f t="shared" si="3"/>
        <v>76567</v>
      </c>
      <c r="W12" s="111">
        <f>'Pri Sec_outstanding_6'!Q12</f>
        <v>342587</v>
      </c>
      <c r="X12" s="111">
        <f t="shared" si="4"/>
        <v>419154</v>
      </c>
      <c r="Y12" s="111">
        <f>'CD Ratio_3(i)'!F12</f>
        <v>419154</v>
      </c>
      <c r="Z12" s="111">
        <f t="shared" si="5"/>
        <v>0</v>
      </c>
    </row>
    <row r="13" spans="1:26" ht="15" customHeight="1" x14ac:dyDescent="0.2">
      <c r="A13" s="119">
        <v>8</v>
      </c>
      <c r="B13" s="99" t="s">
        <v>61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f t="shared" si="0"/>
        <v>0</v>
      </c>
      <c r="L13" s="99">
        <f t="shared" si="1"/>
        <v>0</v>
      </c>
      <c r="M13" s="99">
        <v>265</v>
      </c>
      <c r="N13" s="99">
        <v>3758</v>
      </c>
      <c r="O13" s="99">
        <v>21</v>
      </c>
      <c r="P13" s="99">
        <v>586</v>
      </c>
      <c r="Q13" s="99">
        <v>6506</v>
      </c>
      <c r="R13" s="99">
        <v>8893</v>
      </c>
      <c r="S13" s="99">
        <v>168</v>
      </c>
      <c r="T13" s="99">
        <f>259621-3758</f>
        <v>255863</v>
      </c>
      <c r="U13" s="99">
        <f t="shared" si="2"/>
        <v>6960</v>
      </c>
      <c r="V13" s="99">
        <f t="shared" si="3"/>
        <v>269100</v>
      </c>
      <c r="W13" s="111">
        <f>'Pri Sec_outstanding_6'!Q13</f>
        <v>918186</v>
      </c>
      <c r="X13" s="111">
        <f t="shared" si="4"/>
        <v>1187286</v>
      </c>
      <c r="Y13" s="111">
        <f>'CD Ratio_3(i)'!F13</f>
        <v>1187286</v>
      </c>
      <c r="Z13" s="111">
        <f t="shared" si="5"/>
        <v>0</v>
      </c>
    </row>
    <row r="14" spans="1:26" ht="15" customHeight="1" x14ac:dyDescent="0.2">
      <c r="A14" s="119">
        <v>9</v>
      </c>
      <c r="B14" s="117" t="s">
        <v>48</v>
      </c>
      <c r="C14" s="99">
        <v>0</v>
      </c>
      <c r="D14" s="99">
        <v>0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f t="shared" si="0"/>
        <v>0</v>
      </c>
      <c r="L14" s="99">
        <f t="shared" si="1"/>
        <v>0</v>
      </c>
      <c r="M14" s="99">
        <v>0</v>
      </c>
      <c r="N14" s="99">
        <v>0</v>
      </c>
      <c r="O14" s="99">
        <v>0</v>
      </c>
      <c r="P14" s="99">
        <v>0</v>
      </c>
      <c r="Q14" s="99">
        <v>70</v>
      </c>
      <c r="R14" s="99">
        <v>41.6</v>
      </c>
      <c r="S14" s="99">
        <v>4486</v>
      </c>
      <c r="T14" s="99">
        <v>49968.3</v>
      </c>
      <c r="U14" s="99">
        <f t="shared" si="2"/>
        <v>4556</v>
      </c>
      <c r="V14" s="99">
        <f t="shared" si="3"/>
        <v>50009.9</v>
      </c>
      <c r="W14" s="111">
        <f>'Pri Sec_outstanding_6'!Q14</f>
        <v>115907.1</v>
      </c>
      <c r="X14" s="111">
        <f t="shared" si="4"/>
        <v>165917</v>
      </c>
      <c r="Y14" s="111">
        <f>'CD Ratio_3(i)'!F14</f>
        <v>165917</v>
      </c>
      <c r="Z14" s="111">
        <f t="shared" si="5"/>
        <v>0</v>
      </c>
    </row>
    <row r="15" spans="1:26" ht="15" customHeight="1" x14ac:dyDescent="0.2">
      <c r="A15" s="119">
        <v>10</v>
      </c>
      <c r="B15" s="117" t="s">
        <v>49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2</v>
      </c>
      <c r="J15" s="99">
        <v>277</v>
      </c>
      <c r="K15" s="99">
        <f t="shared" si="0"/>
        <v>2</v>
      </c>
      <c r="L15" s="99">
        <f t="shared" si="1"/>
        <v>277</v>
      </c>
      <c r="M15" s="99">
        <v>4</v>
      </c>
      <c r="N15" s="99">
        <v>65</v>
      </c>
      <c r="O15" s="99">
        <v>374</v>
      </c>
      <c r="P15" s="99">
        <v>6759</v>
      </c>
      <c r="Q15" s="99">
        <v>3622</v>
      </c>
      <c r="R15" s="99">
        <v>6135</v>
      </c>
      <c r="S15" s="99">
        <v>1532</v>
      </c>
      <c r="T15" s="99">
        <f>72366-622</f>
        <v>71744</v>
      </c>
      <c r="U15" s="99">
        <f t="shared" si="2"/>
        <v>5534</v>
      </c>
      <c r="V15" s="99">
        <f t="shared" si="3"/>
        <v>84980</v>
      </c>
      <c r="W15" s="111">
        <f>'Pri Sec_outstanding_6'!Q15</f>
        <v>66817</v>
      </c>
      <c r="X15" s="111">
        <f t="shared" si="4"/>
        <v>151797</v>
      </c>
      <c r="Y15" s="111">
        <f>'CD Ratio_3(i)'!F15</f>
        <v>151797</v>
      </c>
      <c r="Z15" s="111">
        <f t="shared" si="5"/>
        <v>0</v>
      </c>
    </row>
    <row r="16" spans="1:26" ht="15" customHeight="1" x14ac:dyDescent="0.2">
      <c r="A16" s="119">
        <v>11</v>
      </c>
      <c r="B16" s="117" t="s">
        <v>81</v>
      </c>
      <c r="C16" s="99">
        <v>0</v>
      </c>
      <c r="D16" s="99">
        <v>0</v>
      </c>
      <c r="E16" s="99">
        <v>9</v>
      </c>
      <c r="F16" s="99">
        <v>2311</v>
      </c>
      <c r="G16" s="99">
        <v>2</v>
      </c>
      <c r="H16" s="99">
        <v>633</v>
      </c>
      <c r="I16" s="99">
        <v>263</v>
      </c>
      <c r="J16" s="99">
        <v>120379</v>
      </c>
      <c r="K16" s="99">
        <f t="shared" si="0"/>
        <v>274</v>
      </c>
      <c r="L16" s="99">
        <f t="shared" si="1"/>
        <v>123323</v>
      </c>
      <c r="M16" s="99">
        <v>9</v>
      </c>
      <c r="N16" s="99">
        <v>107</v>
      </c>
      <c r="O16" s="99">
        <v>606</v>
      </c>
      <c r="P16" s="99">
        <v>24789</v>
      </c>
      <c r="Q16" s="99">
        <v>4239</v>
      </c>
      <c r="R16" s="99">
        <v>23545</v>
      </c>
      <c r="S16" s="99">
        <v>300</v>
      </c>
      <c r="T16" s="99">
        <v>14856</v>
      </c>
      <c r="U16" s="99">
        <f t="shared" si="2"/>
        <v>5428</v>
      </c>
      <c r="V16" s="99">
        <f t="shared" si="3"/>
        <v>186620</v>
      </c>
      <c r="W16" s="111">
        <f>'Pri Sec_outstanding_6'!Q16</f>
        <v>175742</v>
      </c>
      <c r="X16" s="111">
        <f t="shared" si="4"/>
        <v>362362</v>
      </c>
      <c r="Y16" s="111">
        <f>'CD Ratio_3(i)'!F16</f>
        <v>362362</v>
      </c>
      <c r="Z16" s="111">
        <f t="shared" si="5"/>
        <v>0</v>
      </c>
    </row>
    <row r="17" spans="1:26" ht="15" customHeight="1" x14ac:dyDescent="0.2">
      <c r="A17" s="119">
        <v>12</v>
      </c>
      <c r="B17" s="117" t="s">
        <v>62</v>
      </c>
      <c r="C17" s="99">
        <v>0</v>
      </c>
      <c r="D17" s="99">
        <v>0</v>
      </c>
      <c r="E17" s="99">
        <v>24</v>
      </c>
      <c r="F17" s="99">
        <v>245.29</v>
      </c>
      <c r="G17" s="99">
        <v>1</v>
      </c>
      <c r="H17" s="99">
        <v>21.45</v>
      </c>
      <c r="I17" s="99">
        <v>0</v>
      </c>
      <c r="J17" s="99">
        <v>0</v>
      </c>
      <c r="K17" s="99">
        <f t="shared" si="0"/>
        <v>25</v>
      </c>
      <c r="L17" s="99">
        <f t="shared" si="1"/>
        <v>266.74</v>
      </c>
      <c r="M17" s="99">
        <v>5</v>
      </c>
      <c r="N17" s="99">
        <v>7.97</v>
      </c>
      <c r="O17" s="99">
        <v>44</v>
      </c>
      <c r="P17" s="99">
        <v>982.67</v>
      </c>
      <c r="Q17" s="99">
        <v>433</v>
      </c>
      <c r="R17" s="99">
        <v>400.11</v>
      </c>
      <c r="S17" s="99">
        <v>1417</v>
      </c>
      <c r="T17" s="99">
        <f>18466.8-6115</f>
        <v>12351.8</v>
      </c>
      <c r="U17" s="99">
        <f t="shared" si="2"/>
        <v>1924</v>
      </c>
      <c r="V17" s="99">
        <f t="shared" si="3"/>
        <v>14009.289999999999</v>
      </c>
      <c r="W17" s="111">
        <f>'Pri Sec_outstanding_6'!Q17</f>
        <v>21085.119999999999</v>
      </c>
      <c r="X17" s="111">
        <f t="shared" si="4"/>
        <v>35094.409999999996</v>
      </c>
      <c r="Y17" s="111">
        <f>'CD Ratio_3(i)'!F17</f>
        <v>35094.410000000003</v>
      </c>
      <c r="Z17" s="111">
        <f t="shared" si="5"/>
        <v>0</v>
      </c>
    </row>
    <row r="18" spans="1:26" ht="15" customHeight="1" x14ac:dyDescent="0.2">
      <c r="A18" s="119">
        <v>13</v>
      </c>
      <c r="B18" s="117" t="s">
        <v>63</v>
      </c>
      <c r="C18" s="99">
        <v>1</v>
      </c>
      <c r="D18" s="99">
        <v>140</v>
      </c>
      <c r="E18" s="99">
        <v>0</v>
      </c>
      <c r="F18" s="99">
        <v>0</v>
      </c>
      <c r="G18" s="99">
        <v>0</v>
      </c>
      <c r="H18" s="99">
        <v>0</v>
      </c>
      <c r="I18" s="99">
        <v>10</v>
      </c>
      <c r="J18" s="99">
        <v>15545</v>
      </c>
      <c r="K18" s="99">
        <f t="shared" si="0"/>
        <v>10</v>
      </c>
      <c r="L18" s="99">
        <f t="shared" si="1"/>
        <v>15545</v>
      </c>
      <c r="M18" s="99">
        <v>0</v>
      </c>
      <c r="N18" s="99">
        <v>0</v>
      </c>
      <c r="O18" s="99">
        <v>14</v>
      </c>
      <c r="P18" s="99">
        <v>1489</v>
      </c>
      <c r="Q18" s="99">
        <v>3026</v>
      </c>
      <c r="R18" s="99">
        <v>5156</v>
      </c>
      <c r="S18" s="99">
        <v>283</v>
      </c>
      <c r="T18" s="99">
        <f>11092-3597</f>
        <v>7495</v>
      </c>
      <c r="U18" s="99">
        <f t="shared" si="2"/>
        <v>3334</v>
      </c>
      <c r="V18" s="99">
        <f t="shared" si="3"/>
        <v>29825</v>
      </c>
      <c r="W18" s="111">
        <f>'Pri Sec_outstanding_6'!Q18</f>
        <v>66763</v>
      </c>
      <c r="X18" s="111">
        <f t="shared" si="4"/>
        <v>96588</v>
      </c>
      <c r="Y18" s="111">
        <f>'CD Ratio_3(i)'!F18</f>
        <v>96588</v>
      </c>
      <c r="Z18" s="111">
        <f t="shared" si="5"/>
        <v>0</v>
      </c>
    </row>
    <row r="19" spans="1:26" ht="15" customHeight="1" x14ac:dyDescent="0.2">
      <c r="A19" s="119">
        <v>14</v>
      </c>
      <c r="B19" s="352" t="s">
        <v>207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f t="shared" si="0"/>
        <v>0</v>
      </c>
      <c r="L19" s="99">
        <f t="shared" si="1"/>
        <v>0</v>
      </c>
      <c r="M19" s="99">
        <v>44</v>
      </c>
      <c r="N19" s="99">
        <v>319</v>
      </c>
      <c r="O19" s="99">
        <v>714</v>
      </c>
      <c r="P19" s="99">
        <v>9783</v>
      </c>
      <c r="Q19" s="99">
        <v>3495</v>
      </c>
      <c r="R19" s="99">
        <v>5742</v>
      </c>
      <c r="S19" s="99">
        <v>3833</v>
      </c>
      <c r="T19" s="99">
        <f>72622+12206-9833-348</f>
        <v>74647</v>
      </c>
      <c r="U19" s="99">
        <f t="shared" si="2"/>
        <v>8086</v>
      </c>
      <c r="V19" s="99">
        <f t="shared" si="3"/>
        <v>90491</v>
      </c>
      <c r="W19" s="111">
        <f>'Pri Sec_outstanding_6'!Q19</f>
        <v>128507.95</v>
      </c>
      <c r="X19" s="111">
        <f t="shared" si="4"/>
        <v>218998.95</v>
      </c>
      <c r="Y19" s="111">
        <f>'CD Ratio_3(i)'!F19</f>
        <v>218999.15</v>
      </c>
      <c r="Z19" s="111">
        <f t="shared" si="5"/>
        <v>-0.1999999999825377</v>
      </c>
    </row>
    <row r="20" spans="1:26" ht="15" customHeight="1" x14ac:dyDescent="0.2">
      <c r="A20" s="119">
        <v>15</v>
      </c>
      <c r="B20" s="117" t="s">
        <v>208</v>
      </c>
      <c r="C20" s="99">
        <v>0</v>
      </c>
      <c r="D20" s="99">
        <v>0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f t="shared" si="0"/>
        <v>0</v>
      </c>
      <c r="L20" s="99">
        <f t="shared" si="1"/>
        <v>0</v>
      </c>
      <c r="M20" s="99">
        <v>3</v>
      </c>
      <c r="N20" s="99">
        <v>21.89</v>
      </c>
      <c r="O20" s="99">
        <v>120</v>
      </c>
      <c r="P20" s="99">
        <v>3158.45</v>
      </c>
      <c r="Q20" s="99">
        <v>413</v>
      </c>
      <c r="R20" s="99">
        <v>75.88</v>
      </c>
      <c r="S20" s="99">
        <v>1937</v>
      </c>
      <c r="T20" s="99">
        <v>6195.3</v>
      </c>
      <c r="U20" s="99">
        <f t="shared" si="2"/>
        <v>2473</v>
      </c>
      <c r="V20" s="99">
        <f t="shared" si="3"/>
        <v>9451.52</v>
      </c>
      <c r="W20" s="111">
        <f>'Pri Sec_outstanding_6'!Q20</f>
        <v>52923.13</v>
      </c>
      <c r="X20" s="111">
        <f t="shared" si="4"/>
        <v>62374.649999999994</v>
      </c>
      <c r="Y20" s="111">
        <f>'CD Ratio_3(i)'!F20</f>
        <v>62375</v>
      </c>
      <c r="Z20" s="111">
        <f t="shared" si="5"/>
        <v>-0.35000000000582077</v>
      </c>
    </row>
    <row r="21" spans="1:26" ht="15" customHeight="1" x14ac:dyDescent="0.2">
      <c r="A21" s="119">
        <v>16</v>
      </c>
      <c r="B21" s="117" t="s">
        <v>64</v>
      </c>
      <c r="C21" s="99">
        <v>7</v>
      </c>
      <c r="D21" s="99">
        <v>21993</v>
      </c>
      <c r="E21" s="99">
        <v>0</v>
      </c>
      <c r="F21" s="99">
        <v>0</v>
      </c>
      <c r="G21" s="99">
        <v>91</v>
      </c>
      <c r="H21" s="99">
        <v>36052</v>
      </c>
      <c r="I21" s="99">
        <v>16</v>
      </c>
      <c r="J21" s="99">
        <v>15085</v>
      </c>
      <c r="K21" s="99">
        <f t="shared" si="0"/>
        <v>107</v>
      </c>
      <c r="L21" s="99">
        <f t="shared" si="1"/>
        <v>51137</v>
      </c>
      <c r="M21" s="99">
        <v>24</v>
      </c>
      <c r="N21" s="99">
        <v>449</v>
      </c>
      <c r="O21" s="99">
        <v>2106</v>
      </c>
      <c r="P21" s="99">
        <v>64163</v>
      </c>
      <c r="Q21" s="99">
        <v>24785</v>
      </c>
      <c r="R21" s="99">
        <v>86690</v>
      </c>
      <c r="S21" s="99">
        <v>12215</v>
      </c>
      <c r="T21" s="99">
        <v>379146</v>
      </c>
      <c r="U21" s="99">
        <f t="shared" si="2"/>
        <v>39244</v>
      </c>
      <c r="V21" s="99">
        <f t="shared" si="3"/>
        <v>603578</v>
      </c>
      <c r="W21" s="111">
        <f>'Pri Sec_outstanding_6'!Q21</f>
        <v>744260</v>
      </c>
      <c r="X21" s="111">
        <f t="shared" si="4"/>
        <v>1347838</v>
      </c>
      <c r="Y21" s="111">
        <f>'CD Ratio_3(i)'!F21</f>
        <v>1347838</v>
      </c>
      <c r="Z21" s="111">
        <f t="shared" si="5"/>
        <v>0</v>
      </c>
    </row>
    <row r="22" spans="1:26" ht="15" customHeight="1" x14ac:dyDescent="0.2">
      <c r="A22" s="119">
        <v>17</v>
      </c>
      <c r="B22" s="116" t="s">
        <v>69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f t="shared" si="0"/>
        <v>0</v>
      </c>
      <c r="L22" s="99">
        <f t="shared" si="1"/>
        <v>0</v>
      </c>
      <c r="M22" s="99">
        <v>0</v>
      </c>
      <c r="N22" s="99">
        <v>0</v>
      </c>
      <c r="O22" s="99">
        <v>192</v>
      </c>
      <c r="P22" s="99">
        <v>4968.79</v>
      </c>
      <c r="Q22" s="99">
        <v>72</v>
      </c>
      <c r="R22" s="99">
        <v>809</v>
      </c>
      <c r="S22" s="99">
        <v>1221</v>
      </c>
      <c r="T22" s="99">
        <v>21364</v>
      </c>
      <c r="U22" s="99">
        <f t="shared" si="2"/>
        <v>1485</v>
      </c>
      <c r="V22" s="99">
        <f t="shared" si="3"/>
        <v>27141.79</v>
      </c>
      <c r="W22" s="111">
        <f>'Pri Sec_outstanding_6'!Q22</f>
        <v>7786.369999999999</v>
      </c>
      <c r="X22" s="111">
        <f t="shared" si="4"/>
        <v>34928.160000000003</v>
      </c>
      <c r="Y22" s="111">
        <f>'CD Ratio_3(i)'!F22</f>
        <v>34927.800000000003</v>
      </c>
      <c r="Z22" s="111">
        <f t="shared" si="5"/>
        <v>0.36000000000058208</v>
      </c>
    </row>
    <row r="23" spans="1:26" ht="15" customHeight="1" x14ac:dyDescent="0.2">
      <c r="A23" s="119">
        <v>18</v>
      </c>
      <c r="B23" s="117" t="s">
        <v>209</v>
      </c>
      <c r="C23" s="99">
        <v>0</v>
      </c>
      <c r="D23" s="99">
        <v>0</v>
      </c>
      <c r="E23" s="99">
        <v>15</v>
      </c>
      <c r="F23" s="99">
        <v>357</v>
      </c>
      <c r="G23" s="99">
        <v>0</v>
      </c>
      <c r="H23" s="99">
        <v>0</v>
      </c>
      <c r="I23" s="99">
        <v>0</v>
      </c>
      <c r="J23" s="99">
        <v>0</v>
      </c>
      <c r="K23" s="99">
        <f t="shared" si="0"/>
        <v>15</v>
      </c>
      <c r="L23" s="99">
        <f t="shared" si="1"/>
        <v>357</v>
      </c>
      <c r="M23" s="99">
        <v>0</v>
      </c>
      <c r="N23" s="99">
        <v>0</v>
      </c>
      <c r="O23" s="99">
        <v>24</v>
      </c>
      <c r="P23" s="99">
        <v>677</v>
      </c>
      <c r="Q23" s="99">
        <v>199</v>
      </c>
      <c r="R23" s="99">
        <v>646</v>
      </c>
      <c r="S23" s="99">
        <v>15</v>
      </c>
      <c r="T23" s="99">
        <v>9777</v>
      </c>
      <c r="U23" s="99">
        <f t="shared" si="2"/>
        <v>253</v>
      </c>
      <c r="V23" s="99">
        <f t="shared" si="3"/>
        <v>11457</v>
      </c>
      <c r="W23" s="111">
        <f>'Pri Sec_outstanding_6'!Q23</f>
        <v>16458.18</v>
      </c>
      <c r="X23" s="111">
        <f t="shared" si="4"/>
        <v>27915.18</v>
      </c>
      <c r="Y23" s="111">
        <f>'CD Ratio_3(i)'!F23</f>
        <v>27915.18</v>
      </c>
      <c r="Z23" s="111">
        <f t="shared" si="5"/>
        <v>0</v>
      </c>
    </row>
    <row r="24" spans="1:26" ht="15" customHeight="1" x14ac:dyDescent="0.2">
      <c r="A24" s="119">
        <v>19</v>
      </c>
      <c r="B24" s="118" t="s">
        <v>210</v>
      </c>
      <c r="C24" s="99">
        <v>0</v>
      </c>
      <c r="D24" s="99">
        <v>0</v>
      </c>
      <c r="E24" s="99">
        <v>0</v>
      </c>
      <c r="F24" s="99">
        <v>0</v>
      </c>
      <c r="G24" s="99">
        <v>0</v>
      </c>
      <c r="H24" s="99">
        <v>0</v>
      </c>
      <c r="I24" s="99">
        <v>1</v>
      </c>
      <c r="J24" s="99">
        <v>2</v>
      </c>
      <c r="K24" s="99">
        <f t="shared" si="0"/>
        <v>1</v>
      </c>
      <c r="L24" s="99">
        <f t="shared" si="1"/>
        <v>2</v>
      </c>
      <c r="M24" s="99">
        <v>3</v>
      </c>
      <c r="N24" s="99">
        <v>9.18</v>
      </c>
      <c r="O24" s="99">
        <v>98</v>
      </c>
      <c r="P24" s="99">
        <v>1877</v>
      </c>
      <c r="Q24" s="99">
        <v>0</v>
      </c>
      <c r="R24" s="99">
        <v>0</v>
      </c>
      <c r="S24" s="99">
        <v>700</v>
      </c>
      <c r="T24" s="99">
        <f>48666.5-361</f>
        <v>48305.5</v>
      </c>
      <c r="U24" s="99">
        <f t="shared" si="2"/>
        <v>802</v>
      </c>
      <c r="V24" s="99">
        <f t="shared" si="3"/>
        <v>50193.68</v>
      </c>
      <c r="W24" s="111">
        <f>'Pri Sec_outstanding_6'!Q24</f>
        <v>19879.32</v>
      </c>
      <c r="X24" s="111">
        <f t="shared" si="4"/>
        <v>70073</v>
      </c>
      <c r="Y24" s="111">
        <f>'CD Ratio_3(i)'!F24</f>
        <v>70073</v>
      </c>
      <c r="Z24" s="111">
        <f t="shared" si="5"/>
        <v>0</v>
      </c>
    </row>
    <row r="25" spans="1:26" ht="15" customHeight="1" x14ac:dyDescent="0.2">
      <c r="A25" s="119">
        <v>20</v>
      </c>
      <c r="B25" s="117" t="s">
        <v>211</v>
      </c>
      <c r="C25" s="99">
        <v>0</v>
      </c>
      <c r="D25" s="99">
        <v>0</v>
      </c>
      <c r="E25" s="99">
        <v>30</v>
      </c>
      <c r="F25" s="99">
        <v>103</v>
      </c>
      <c r="G25" s="99">
        <v>60</v>
      </c>
      <c r="H25" s="99">
        <v>1200</v>
      </c>
      <c r="I25" s="99">
        <v>35</v>
      </c>
      <c r="J25" s="99">
        <v>450</v>
      </c>
      <c r="K25" s="99">
        <f t="shared" si="0"/>
        <v>125</v>
      </c>
      <c r="L25" s="99">
        <f t="shared" si="1"/>
        <v>1753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f t="shared" si="2"/>
        <v>125</v>
      </c>
      <c r="V25" s="99">
        <f t="shared" si="3"/>
        <v>1753</v>
      </c>
      <c r="W25" s="111">
        <f>'Pri Sec_outstanding_6'!Q25</f>
        <v>50450</v>
      </c>
      <c r="X25" s="111">
        <f t="shared" si="4"/>
        <v>52203</v>
      </c>
      <c r="Y25" s="111">
        <f>'CD Ratio_3(i)'!F25</f>
        <v>52203</v>
      </c>
      <c r="Z25" s="111">
        <f t="shared" si="5"/>
        <v>0</v>
      </c>
    </row>
    <row r="26" spans="1:26" ht="15" customHeight="1" x14ac:dyDescent="0.2">
      <c r="A26" s="119">
        <v>21</v>
      </c>
      <c r="B26" s="117" t="s">
        <v>212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10</v>
      </c>
      <c r="J26" s="99">
        <v>34403</v>
      </c>
      <c r="K26" s="99">
        <f t="shared" si="0"/>
        <v>10</v>
      </c>
      <c r="L26" s="99">
        <f t="shared" si="1"/>
        <v>34403</v>
      </c>
      <c r="M26" s="99">
        <v>0</v>
      </c>
      <c r="N26" s="99">
        <v>0</v>
      </c>
      <c r="O26" s="99">
        <v>0</v>
      </c>
      <c r="P26" s="99">
        <v>0</v>
      </c>
      <c r="Q26" s="99">
        <v>194</v>
      </c>
      <c r="R26" s="99">
        <v>87</v>
      </c>
      <c r="S26" s="99">
        <v>1810</v>
      </c>
      <c r="T26" s="99">
        <v>2100</v>
      </c>
      <c r="U26" s="99">
        <f t="shared" si="2"/>
        <v>2014</v>
      </c>
      <c r="V26" s="99">
        <f t="shared" si="3"/>
        <v>36590</v>
      </c>
      <c r="W26" s="111">
        <f>'Pri Sec_outstanding_6'!Q26</f>
        <v>22773</v>
      </c>
      <c r="X26" s="111">
        <f t="shared" si="4"/>
        <v>59363</v>
      </c>
      <c r="Y26" s="111">
        <f>'CD Ratio_3(i)'!F26</f>
        <v>59363</v>
      </c>
      <c r="Z26" s="111">
        <f t="shared" si="5"/>
        <v>0</v>
      </c>
    </row>
    <row r="27" spans="1:26" ht="15" customHeight="1" x14ac:dyDescent="0.2">
      <c r="A27" s="119">
        <v>22</v>
      </c>
      <c r="B27" s="117" t="s">
        <v>70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f t="shared" si="0"/>
        <v>0</v>
      </c>
      <c r="L27" s="99">
        <f t="shared" si="1"/>
        <v>0</v>
      </c>
      <c r="M27" s="99">
        <v>2051</v>
      </c>
      <c r="N27" s="99">
        <v>23367</v>
      </c>
      <c r="O27" s="99">
        <v>7652</v>
      </c>
      <c r="P27" s="99">
        <v>222036</v>
      </c>
      <c r="Q27" s="99">
        <v>75212</v>
      </c>
      <c r="R27" s="99">
        <v>773079</v>
      </c>
      <c r="S27" s="99">
        <v>4587</v>
      </c>
      <c r="T27" s="99">
        <f>2116425-41480+20740</f>
        <v>2095685</v>
      </c>
      <c r="U27" s="99">
        <f t="shared" si="2"/>
        <v>89502</v>
      </c>
      <c r="V27" s="99">
        <f t="shared" si="3"/>
        <v>3114167</v>
      </c>
      <c r="W27" s="111">
        <f>'Pri Sec_outstanding_6'!Q27</f>
        <v>2523299</v>
      </c>
      <c r="X27" s="111">
        <f t="shared" si="4"/>
        <v>5637466</v>
      </c>
      <c r="Y27" s="111">
        <f>'CD Ratio_3(i)'!F27</f>
        <v>5637466</v>
      </c>
      <c r="Z27" s="111">
        <f t="shared" si="5"/>
        <v>0</v>
      </c>
    </row>
    <row r="28" spans="1:26" ht="15" customHeight="1" x14ac:dyDescent="0.2">
      <c r="A28" s="119">
        <v>23</v>
      </c>
      <c r="B28" s="117" t="s">
        <v>65</v>
      </c>
      <c r="C28" s="99">
        <v>0</v>
      </c>
      <c r="D28" s="99">
        <v>0</v>
      </c>
      <c r="E28" s="99">
        <v>132</v>
      </c>
      <c r="F28" s="99">
        <v>445</v>
      </c>
      <c r="G28" s="99">
        <v>27</v>
      </c>
      <c r="H28" s="99">
        <v>1166</v>
      </c>
      <c r="I28" s="99">
        <v>0</v>
      </c>
      <c r="J28" s="99">
        <v>0</v>
      </c>
      <c r="K28" s="99">
        <f t="shared" si="0"/>
        <v>159</v>
      </c>
      <c r="L28" s="99">
        <f t="shared" si="1"/>
        <v>1611</v>
      </c>
      <c r="M28" s="99">
        <v>4</v>
      </c>
      <c r="N28" s="99">
        <v>40</v>
      </c>
      <c r="O28" s="99">
        <v>312</v>
      </c>
      <c r="P28" s="99">
        <v>3250</v>
      </c>
      <c r="Q28" s="99">
        <v>5265</v>
      </c>
      <c r="R28" s="99">
        <v>37144</v>
      </c>
      <c r="S28" s="99">
        <v>9414</v>
      </c>
      <c r="T28" s="99">
        <f>39095-7272</f>
        <v>31823</v>
      </c>
      <c r="U28" s="99">
        <f t="shared" si="2"/>
        <v>15154</v>
      </c>
      <c r="V28" s="99">
        <f t="shared" si="3"/>
        <v>73868</v>
      </c>
      <c r="W28" s="111">
        <f>'Pri Sec_outstanding_6'!Q28</f>
        <v>72894</v>
      </c>
      <c r="X28" s="111">
        <f t="shared" si="4"/>
        <v>146762</v>
      </c>
      <c r="Y28" s="111">
        <f>'CD Ratio_3(i)'!F28</f>
        <v>146762</v>
      </c>
      <c r="Z28" s="111">
        <f t="shared" si="5"/>
        <v>0</v>
      </c>
    </row>
    <row r="29" spans="1:26" ht="15" customHeight="1" x14ac:dyDescent="0.2">
      <c r="A29" s="119">
        <v>24</v>
      </c>
      <c r="B29" s="117" t="s">
        <v>213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49</v>
      </c>
      <c r="J29" s="99">
        <v>46699.38</v>
      </c>
      <c r="K29" s="99">
        <f t="shared" si="0"/>
        <v>49</v>
      </c>
      <c r="L29" s="99">
        <f t="shared" si="1"/>
        <v>46699.38</v>
      </c>
      <c r="M29" s="99">
        <v>441</v>
      </c>
      <c r="N29" s="99">
        <v>1213</v>
      </c>
      <c r="O29" s="99">
        <v>1721</v>
      </c>
      <c r="P29" s="99">
        <v>22721</v>
      </c>
      <c r="Q29" s="99">
        <v>4111</v>
      </c>
      <c r="R29" s="99">
        <v>4211</v>
      </c>
      <c r="S29" s="99">
        <v>2899</v>
      </c>
      <c r="T29" s="99">
        <v>65027.76</v>
      </c>
      <c r="U29" s="99">
        <f t="shared" si="2"/>
        <v>9221</v>
      </c>
      <c r="V29" s="99">
        <f t="shared" si="3"/>
        <v>139872.14000000001</v>
      </c>
      <c r="W29" s="111">
        <f>'Pri Sec_outstanding_6'!Q29</f>
        <v>286949</v>
      </c>
      <c r="X29" s="111">
        <f t="shared" si="4"/>
        <v>426821.14</v>
      </c>
      <c r="Y29" s="111">
        <f>'CD Ratio_3(i)'!F29</f>
        <v>426821.53</v>
      </c>
      <c r="Z29" s="111">
        <f t="shared" si="5"/>
        <v>-0.39000000001396984</v>
      </c>
    </row>
    <row r="30" spans="1:26" ht="15" customHeight="1" x14ac:dyDescent="0.2">
      <c r="A30" s="119">
        <v>25</v>
      </c>
      <c r="B30" s="117" t="s">
        <v>66</v>
      </c>
      <c r="C30" s="99">
        <v>0</v>
      </c>
      <c r="D30" s="99">
        <v>0</v>
      </c>
      <c r="E30" s="99">
        <v>6</v>
      </c>
      <c r="F30" s="99">
        <v>4816</v>
      </c>
      <c r="G30" s="99">
        <v>9</v>
      </c>
      <c r="H30" s="99">
        <v>15205</v>
      </c>
      <c r="I30" s="99">
        <v>5</v>
      </c>
      <c r="J30" s="99">
        <v>24003</v>
      </c>
      <c r="K30" s="99">
        <f t="shared" si="0"/>
        <v>20</v>
      </c>
      <c r="L30" s="99">
        <f t="shared" si="1"/>
        <v>44024</v>
      </c>
      <c r="M30" s="99">
        <v>162</v>
      </c>
      <c r="N30" s="99">
        <v>1323</v>
      </c>
      <c r="O30" s="99">
        <v>2009</v>
      </c>
      <c r="P30" s="99">
        <v>29666</v>
      </c>
      <c r="Q30" s="99">
        <v>14189</v>
      </c>
      <c r="R30" s="99">
        <v>33395</v>
      </c>
      <c r="S30" s="99">
        <v>8573</v>
      </c>
      <c r="T30" s="99">
        <v>239256</v>
      </c>
      <c r="U30" s="99">
        <f t="shared" si="2"/>
        <v>24953</v>
      </c>
      <c r="V30" s="99">
        <f t="shared" si="3"/>
        <v>347664</v>
      </c>
      <c r="W30" s="111">
        <f>'Pri Sec_outstanding_6'!Q30</f>
        <v>570881</v>
      </c>
      <c r="X30" s="111">
        <f t="shared" si="4"/>
        <v>918545</v>
      </c>
      <c r="Y30" s="111">
        <f>'CD Ratio_3(i)'!F30</f>
        <v>918545</v>
      </c>
      <c r="Z30" s="111">
        <f t="shared" si="5"/>
        <v>0</v>
      </c>
    </row>
    <row r="31" spans="1:26" ht="15" customHeight="1" x14ac:dyDescent="0.2">
      <c r="A31" s="119">
        <v>26</v>
      </c>
      <c r="B31" s="122" t="s">
        <v>67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f t="shared" si="0"/>
        <v>0</v>
      </c>
      <c r="L31" s="99">
        <f t="shared" si="1"/>
        <v>0</v>
      </c>
      <c r="M31" s="99">
        <v>0</v>
      </c>
      <c r="N31" s="99">
        <v>0</v>
      </c>
      <c r="O31" s="99">
        <v>23</v>
      </c>
      <c r="P31" s="99">
        <v>304</v>
      </c>
      <c r="Q31" s="99">
        <v>0</v>
      </c>
      <c r="R31" s="99">
        <v>0</v>
      </c>
      <c r="S31" s="99">
        <v>319</v>
      </c>
      <c r="T31" s="99">
        <f>14162-1055</f>
        <v>13107</v>
      </c>
      <c r="U31" s="99">
        <f t="shared" si="2"/>
        <v>342</v>
      </c>
      <c r="V31" s="99">
        <f t="shared" si="3"/>
        <v>13411</v>
      </c>
      <c r="W31" s="111">
        <f>'Pri Sec_outstanding_6'!Q31</f>
        <v>13045</v>
      </c>
      <c r="X31" s="111">
        <f t="shared" si="4"/>
        <v>26456</v>
      </c>
      <c r="Y31" s="111">
        <f>'CD Ratio_3(i)'!F31</f>
        <v>26456</v>
      </c>
      <c r="Z31" s="111">
        <f t="shared" si="5"/>
        <v>0</v>
      </c>
    </row>
    <row r="32" spans="1:26" ht="15" customHeight="1" x14ac:dyDescent="0.2">
      <c r="A32" s="119">
        <v>27</v>
      </c>
      <c r="B32" s="117" t="s">
        <v>50</v>
      </c>
      <c r="C32" s="99">
        <v>0</v>
      </c>
      <c r="D32" s="99">
        <v>0</v>
      </c>
      <c r="E32" s="99">
        <v>0</v>
      </c>
      <c r="F32" s="99">
        <v>0</v>
      </c>
      <c r="G32" s="99">
        <v>0</v>
      </c>
      <c r="H32" s="99">
        <v>0</v>
      </c>
      <c r="I32" s="99">
        <v>2</v>
      </c>
      <c r="J32" s="99">
        <v>6064</v>
      </c>
      <c r="K32" s="99">
        <f t="shared" si="0"/>
        <v>2</v>
      </c>
      <c r="L32" s="99">
        <f t="shared" si="1"/>
        <v>6064</v>
      </c>
      <c r="M32" s="99">
        <v>0</v>
      </c>
      <c r="N32" s="99">
        <v>0</v>
      </c>
      <c r="O32" s="99">
        <v>0</v>
      </c>
      <c r="P32" s="99">
        <v>0</v>
      </c>
      <c r="Q32" s="99">
        <v>101</v>
      </c>
      <c r="R32" s="99">
        <v>1163</v>
      </c>
      <c r="S32" s="99">
        <v>2715</v>
      </c>
      <c r="T32" s="99">
        <v>12861</v>
      </c>
      <c r="U32" s="99">
        <f t="shared" si="2"/>
        <v>2818</v>
      </c>
      <c r="V32" s="99">
        <f t="shared" si="3"/>
        <v>20088</v>
      </c>
      <c r="W32" s="111">
        <f>'Pri Sec_outstanding_6'!Q32</f>
        <v>58735</v>
      </c>
      <c r="X32" s="111">
        <f t="shared" si="4"/>
        <v>78823</v>
      </c>
      <c r="Y32" s="111">
        <f>'CD Ratio_3(i)'!F32</f>
        <v>78823</v>
      </c>
      <c r="Z32" s="111">
        <f t="shared" si="5"/>
        <v>0</v>
      </c>
    </row>
    <row r="33" spans="1:26" s="112" customFormat="1" ht="15" customHeight="1" x14ac:dyDescent="0.2">
      <c r="A33" s="357"/>
      <c r="B33" s="121" t="s">
        <v>288</v>
      </c>
      <c r="C33" s="106">
        <f>SUM(C6:C32)</f>
        <v>16988</v>
      </c>
      <c r="D33" s="106">
        <f t="shared" ref="D33:F33" si="6">SUM(D6:D32)</f>
        <v>101528.3</v>
      </c>
      <c r="E33" s="106">
        <f t="shared" si="6"/>
        <v>779</v>
      </c>
      <c r="F33" s="106">
        <f t="shared" si="6"/>
        <v>14642.35</v>
      </c>
      <c r="G33" s="106">
        <f>SUM(G6:G32)</f>
        <v>426</v>
      </c>
      <c r="H33" s="106">
        <f t="shared" ref="H33:T33" si="7">SUM(H6:H32)</f>
        <v>91073.829999999987</v>
      </c>
      <c r="I33" s="106">
        <f t="shared" si="7"/>
        <v>658</v>
      </c>
      <c r="J33" s="106">
        <f t="shared" si="7"/>
        <v>329599.38</v>
      </c>
      <c r="K33" s="106">
        <f t="shared" si="7"/>
        <v>1863</v>
      </c>
      <c r="L33" s="106">
        <f t="shared" si="7"/>
        <v>435315.56</v>
      </c>
      <c r="M33" s="106">
        <f t="shared" si="7"/>
        <v>3601</v>
      </c>
      <c r="N33" s="106">
        <f t="shared" si="7"/>
        <v>34155.57</v>
      </c>
      <c r="O33" s="106">
        <f t="shared" si="7"/>
        <v>23335</v>
      </c>
      <c r="P33" s="106">
        <f t="shared" si="7"/>
        <v>509033.67000000004</v>
      </c>
      <c r="Q33" s="106">
        <f t="shared" si="7"/>
        <v>161781</v>
      </c>
      <c r="R33" s="106">
        <f t="shared" si="7"/>
        <v>1020499.16</v>
      </c>
      <c r="S33" s="106">
        <f t="shared" si="7"/>
        <v>140233</v>
      </c>
      <c r="T33" s="106">
        <f t="shared" si="7"/>
        <v>4063857.92</v>
      </c>
      <c r="U33" s="106">
        <f t="shared" si="2"/>
        <v>347801</v>
      </c>
      <c r="V33" s="106">
        <f t="shared" si="3"/>
        <v>6164390.1799999997</v>
      </c>
      <c r="W33" s="111">
        <f>'Pri Sec_outstanding_6'!Q33</f>
        <v>8879786.8900000006</v>
      </c>
      <c r="X33" s="111">
        <f t="shared" si="4"/>
        <v>15044177.07</v>
      </c>
      <c r="Y33" s="111">
        <f>'CD Ratio_3(i)'!F33</f>
        <v>15044177.249999998</v>
      </c>
      <c r="Z33" s="111">
        <f t="shared" si="5"/>
        <v>-0.17999999783933163</v>
      </c>
    </row>
    <row r="34" spans="1:26" ht="15" customHeight="1" x14ac:dyDescent="0.2">
      <c r="A34" s="119">
        <v>28</v>
      </c>
      <c r="B34" s="117" t="s">
        <v>47</v>
      </c>
      <c r="C34" s="99">
        <v>0</v>
      </c>
      <c r="D34" s="99">
        <v>0</v>
      </c>
      <c r="E34" s="99">
        <v>41</v>
      </c>
      <c r="F34" s="99">
        <v>3782.15</v>
      </c>
      <c r="G34" s="99">
        <v>8</v>
      </c>
      <c r="H34" s="99">
        <v>4568.26</v>
      </c>
      <c r="I34" s="99">
        <v>11</v>
      </c>
      <c r="J34" s="99">
        <v>12946.74</v>
      </c>
      <c r="K34" s="99">
        <f t="shared" si="0"/>
        <v>60</v>
      </c>
      <c r="L34" s="99">
        <f t="shared" si="1"/>
        <v>21297.15</v>
      </c>
      <c r="M34" s="99">
        <v>7</v>
      </c>
      <c r="N34" s="99">
        <v>130.68</v>
      </c>
      <c r="O34" s="99">
        <v>1067</v>
      </c>
      <c r="P34" s="99">
        <v>35232.03</v>
      </c>
      <c r="Q34" s="99">
        <v>5821</v>
      </c>
      <c r="R34" s="99">
        <v>47375.5</v>
      </c>
      <c r="S34" s="99">
        <v>17149</v>
      </c>
      <c r="T34" s="99">
        <f>202068.36-564</f>
        <v>201504.36</v>
      </c>
      <c r="U34" s="99">
        <f t="shared" si="2"/>
        <v>24104</v>
      </c>
      <c r="V34" s="99">
        <f t="shared" si="3"/>
        <v>305539.72000000003</v>
      </c>
      <c r="W34" s="111">
        <f>'Pri Sec_outstanding_6'!Q34</f>
        <v>283562.43</v>
      </c>
      <c r="X34" s="111">
        <f t="shared" si="4"/>
        <v>589102.15</v>
      </c>
      <c r="Y34" s="111">
        <f>'CD Ratio_3(i)'!F34</f>
        <v>589102.14</v>
      </c>
      <c r="Z34" s="111">
        <f t="shared" si="5"/>
        <v>1.0000000009313226E-2</v>
      </c>
    </row>
    <row r="35" spans="1:26" ht="15" customHeight="1" x14ac:dyDescent="0.2">
      <c r="A35" s="119">
        <v>29</v>
      </c>
      <c r="B35" s="117" t="s">
        <v>215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f t="shared" si="0"/>
        <v>0</v>
      </c>
      <c r="L35" s="99">
        <f t="shared" si="1"/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f t="shared" si="2"/>
        <v>0</v>
      </c>
      <c r="V35" s="99">
        <f t="shared" si="3"/>
        <v>0</v>
      </c>
      <c r="W35" s="111">
        <f>'Pri Sec_outstanding_6'!Q35</f>
        <v>52638</v>
      </c>
      <c r="X35" s="111">
        <f t="shared" si="4"/>
        <v>52638</v>
      </c>
      <c r="Y35" s="111">
        <f>'CD Ratio_3(i)'!F35</f>
        <v>52638</v>
      </c>
      <c r="Z35" s="111">
        <f t="shared" si="5"/>
        <v>0</v>
      </c>
    </row>
    <row r="36" spans="1:26" ht="15" customHeight="1" x14ac:dyDescent="0.2">
      <c r="A36" s="119">
        <v>30</v>
      </c>
      <c r="B36" s="99" t="s">
        <v>216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f t="shared" si="0"/>
        <v>0</v>
      </c>
      <c r="L36" s="99">
        <f t="shared" si="1"/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>
        <f t="shared" si="2"/>
        <v>0</v>
      </c>
      <c r="V36" s="99">
        <f t="shared" si="3"/>
        <v>0</v>
      </c>
      <c r="W36" s="111">
        <f>'Pri Sec_outstanding_6'!Q36</f>
        <v>704</v>
      </c>
      <c r="X36" s="111">
        <f t="shared" si="4"/>
        <v>704</v>
      </c>
      <c r="Y36" s="111">
        <f>'CD Ratio_3(i)'!F36</f>
        <v>704</v>
      </c>
      <c r="Z36" s="111">
        <f t="shared" si="5"/>
        <v>0</v>
      </c>
    </row>
    <row r="37" spans="1:26" ht="15" customHeight="1" x14ac:dyDescent="0.2">
      <c r="A37" s="119">
        <v>31</v>
      </c>
      <c r="B37" s="99" t="s">
        <v>78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f t="shared" si="0"/>
        <v>0</v>
      </c>
      <c r="L37" s="99">
        <f t="shared" si="1"/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f t="shared" si="2"/>
        <v>0</v>
      </c>
      <c r="V37" s="99">
        <f t="shared" si="3"/>
        <v>0</v>
      </c>
      <c r="W37" s="111">
        <f>'Pri Sec_outstanding_6'!Q37</f>
        <v>1.98</v>
      </c>
      <c r="X37" s="111">
        <f t="shared" si="4"/>
        <v>1.98</v>
      </c>
      <c r="Y37" s="111">
        <f>'CD Ratio_3(i)'!F37</f>
        <v>1.98</v>
      </c>
      <c r="Z37" s="111">
        <f t="shared" si="5"/>
        <v>0</v>
      </c>
    </row>
    <row r="38" spans="1:26" ht="15" customHeight="1" x14ac:dyDescent="0.2">
      <c r="A38" s="119">
        <v>32</v>
      </c>
      <c r="B38" s="99" t="s">
        <v>51</v>
      </c>
      <c r="C38" s="99">
        <v>0</v>
      </c>
      <c r="D38" s="99">
        <v>0</v>
      </c>
      <c r="E38" s="99">
        <v>3</v>
      </c>
      <c r="F38" s="99">
        <v>44.89</v>
      </c>
      <c r="G38" s="99">
        <v>1</v>
      </c>
      <c r="H38" s="99">
        <v>0.3</v>
      </c>
      <c r="I38" s="99">
        <v>4</v>
      </c>
      <c r="J38" s="99">
        <v>960.34</v>
      </c>
      <c r="K38" s="99">
        <f t="shared" si="0"/>
        <v>8</v>
      </c>
      <c r="L38" s="99">
        <f t="shared" si="1"/>
        <v>1005.53</v>
      </c>
      <c r="M38" s="99">
        <v>1</v>
      </c>
      <c r="N38" s="99">
        <v>17.93</v>
      </c>
      <c r="O38" s="99">
        <v>12</v>
      </c>
      <c r="P38" s="99">
        <v>403.66</v>
      </c>
      <c r="Q38" s="99">
        <v>84</v>
      </c>
      <c r="R38" s="99">
        <v>180.97</v>
      </c>
      <c r="S38" s="99">
        <v>41</v>
      </c>
      <c r="T38" s="99">
        <v>2468</v>
      </c>
      <c r="U38" s="99">
        <f t="shared" si="2"/>
        <v>146</v>
      </c>
      <c r="V38" s="99">
        <f t="shared" si="3"/>
        <v>4076.0899999999992</v>
      </c>
      <c r="W38" s="111">
        <f>'Pri Sec_outstanding_6'!Q38</f>
        <v>4446.3</v>
      </c>
      <c r="X38" s="111">
        <f t="shared" si="4"/>
        <v>8522.39</v>
      </c>
      <c r="Y38" s="111">
        <f>'CD Ratio_3(i)'!F38</f>
        <v>8522</v>
      </c>
      <c r="Z38" s="111">
        <f t="shared" si="5"/>
        <v>0.38999999999941792</v>
      </c>
    </row>
    <row r="39" spans="1:26" ht="15" customHeight="1" x14ac:dyDescent="0.2">
      <c r="A39" s="119">
        <v>33</v>
      </c>
      <c r="B39" s="99" t="s">
        <v>217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f t="shared" si="0"/>
        <v>0</v>
      </c>
      <c r="L39" s="99">
        <f t="shared" si="1"/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f t="shared" si="2"/>
        <v>0</v>
      </c>
      <c r="V39" s="99">
        <f t="shared" si="3"/>
        <v>0</v>
      </c>
      <c r="W39" s="111">
        <f>'Pri Sec_outstanding_6'!Q39</f>
        <v>48279</v>
      </c>
      <c r="X39" s="111">
        <f t="shared" si="4"/>
        <v>48279</v>
      </c>
      <c r="Y39" s="111">
        <f>'CD Ratio_3(i)'!F39</f>
        <v>48279</v>
      </c>
      <c r="Z39" s="111">
        <f t="shared" si="5"/>
        <v>0</v>
      </c>
    </row>
    <row r="40" spans="1:26" ht="15" customHeight="1" x14ac:dyDescent="0.2">
      <c r="A40" s="119">
        <v>34</v>
      </c>
      <c r="B40" s="117" t="s">
        <v>218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f t="shared" si="0"/>
        <v>0</v>
      </c>
      <c r="L40" s="99">
        <f t="shared" si="1"/>
        <v>0</v>
      </c>
      <c r="M40" s="99">
        <v>0</v>
      </c>
      <c r="N40" s="99">
        <v>0</v>
      </c>
      <c r="O40" s="99">
        <v>0</v>
      </c>
      <c r="P40" s="99">
        <v>0</v>
      </c>
      <c r="Q40" s="99">
        <v>0</v>
      </c>
      <c r="R40" s="99">
        <v>0</v>
      </c>
      <c r="S40" s="99">
        <v>17</v>
      </c>
      <c r="T40" s="99">
        <v>35</v>
      </c>
      <c r="U40" s="99">
        <f t="shared" si="2"/>
        <v>17</v>
      </c>
      <c r="V40" s="99">
        <f t="shared" si="3"/>
        <v>35</v>
      </c>
      <c r="W40" s="111">
        <f>'Pri Sec_outstanding_6'!Q40</f>
        <v>0</v>
      </c>
      <c r="X40" s="111">
        <f t="shared" si="4"/>
        <v>35</v>
      </c>
      <c r="Y40" s="111">
        <f>'CD Ratio_3(i)'!F40</f>
        <v>35</v>
      </c>
      <c r="Z40" s="111">
        <f t="shared" si="5"/>
        <v>0</v>
      </c>
    </row>
    <row r="41" spans="1:26" ht="15" customHeight="1" x14ac:dyDescent="0.2">
      <c r="A41" s="119">
        <v>35</v>
      </c>
      <c r="B41" s="117" t="s">
        <v>219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f t="shared" si="0"/>
        <v>0</v>
      </c>
      <c r="L41" s="99">
        <f t="shared" si="1"/>
        <v>0</v>
      </c>
      <c r="M41" s="99">
        <v>0</v>
      </c>
      <c r="N41" s="99">
        <v>0</v>
      </c>
      <c r="O41" s="99">
        <v>31</v>
      </c>
      <c r="P41" s="99">
        <v>578.51</v>
      </c>
      <c r="Q41" s="99">
        <v>27</v>
      </c>
      <c r="R41" s="99">
        <v>61.04</v>
      </c>
      <c r="S41" s="99">
        <v>2446</v>
      </c>
      <c r="T41" s="99">
        <f>6021.71-207</f>
        <v>5814.71</v>
      </c>
      <c r="U41" s="99">
        <f t="shared" si="2"/>
        <v>2504</v>
      </c>
      <c r="V41" s="99">
        <f t="shared" si="3"/>
        <v>6454.26</v>
      </c>
      <c r="W41" s="111">
        <f>'Pri Sec_outstanding_6'!Q41</f>
        <v>9029.86</v>
      </c>
      <c r="X41" s="111">
        <f t="shared" si="4"/>
        <v>15484.12</v>
      </c>
      <c r="Y41" s="111">
        <f>'CD Ratio_3(i)'!F41</f>
        <v>15484.12</v>
      </c>
      <c r="Z41" s="111">
        <f t="shared" si="5"/>
        <v>0</v>
      </c>
    </row>
    <row r="42" spans="1:26" ht="15" customHeight="1" x14ac:dyDescent="0.2">
      <c r="A42" s="119">
        <v>36</v>
      </c>
      <c r="B42" s="117" t="s">
        <v>71</v>
      </c>
      <c r="C42" s="99">
        <v>0</v>
      </c>
      <c r="D42" s="99">
        <v>0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J42" s="99">
        <v>0</v>
      </c>
      <c r="K42" s="99">
        <f t="shared" si="0"/>
        <v>0</v>
      </c>
      <c r="L42" s="99">
        <f t="shared" si="1"/>
        <v>0</v>
      </c>
      <c r="M42" s="99">
        <v>9</v>
      </c>
      <c r="N42" s="99">
        <v>38</v>
      </c>
      <c r="O42" s="99">
        <v>853</v>
      </c>
      <c r="P42" s="99">
        <v>19928</v>
      </c>
      <c r="Q42" s="99">
        <v>31439</v>
      </c>
      <c r="R42" s="99">
        <v>62121</v>
      </c>
      <c r="S42" s="99">
        <v>245228</v>
      </c>
      <c r="T42" s="99">
        <f>425191-6126</f>
        <v>419065</v>
      </c>
      <c r="U42" s="99">
        <f t="shared" si="2"/>
        <v>277529</v>
      </c>
      <c r="V42" s="99">
        <f t="shared" si="3"/>
        <v>501152</v>
      </c>
      <c r="W42" s="111">
        <f>'Pri Sec_outstanding_6'!Q42</f>
        <v>676512</v>
      </c>
      <c r="X42" s="111">
        <f t="shared" si="4"/>
        <v>1177664</v>
      </c>
      <c r="Y42" s="111">
        <f>'CD Ratio_3(i)'!F42</f>
        <v>1177664</v>
      </c>
      <c r="Z42" s="111">
        <f t="shared" si="5"/>
        <v>0</v>
      </c>
    </row>
    <row r="43" spans="1:26" ht="15" customHeight="1" x14ac:dyDescent="0.2">
      <c r="A43" s="119">
        <v>37</v>
      </c>
      <c r="B43" s="117" t="s">
        <v>72</v>
      </c>
      <c r="C43" s="99">
        <v>0</v>
      </c>
      <c r="D43" s="99">
        <v>0</v>
      </c>
      <c r="E43" s="99">
        <v>4142</v>
      </c>
      <c r="F43" s="99">
        <v>2033</v>
      </c>
      <c r="G43" s="99">
        <v>21</v>
      </c>
      <c r="H43" s="99">
        <v>1835</v>
      </c>
      <c r="I43" s="99">
        <v>52</v>
      </c>
      <c r="J43" s="99">
        <v>6283</v>
      </c>
      <c r="K43" s="99">
        <f t="shared" si="0"/>
        <v>4215</v>
      </c>
      <c r="L43" s="99">
        <f t="shared" si="1"/>
        <v>10151</v>
      </c>
      <c r="M43" s="99">
        <v>0</v>
      </c>
      <c r="N43" s="99">
        <v>0</v>
      </c>
      <c r="O43" s="99">
        <v>3770</v>
      </c>
      <c r="P43" s="99">
        <v>77907</v>
      </c>
      <c r="Q43" s="99">
        <v>0</v>
      </c>
      <c r="R43" s="99">
        <v>0</v>
      </c>
      <c r="S43" s="99">
        <v>50894</v>
      </c>
      <c r="T43" s="99">
        <f>475172-178</f>
        <v>474994</v>
      </c>
      <c r="U43" s="99">
        <f t="shared" si="2"/>
        <v>58879</v>
      </c>
      <c r="V43" s="99">
        <f t="shared" si="3"/>
        <v>563052</v>
      </c>
      <c r="W43" s="111">
        <f>'Pri Sec_outstanding_6'!Q43</f>
        <v>486267</v>
      </c>
      <c r="X43" s="111">
        <f t="shared" si="4"/>
        <v>1049319</v>
      </c>
      <c r="Y43" s="111">
        <f>'CD Ratio_3(i)'!F43</f>
        <v>1049319</v>
      </c>
      <c r="Z43" s="111">
        <f t="shared" si="5"/>
        <v>0</v>
      </c>
    </row>
    <row r="44" spans="1:26" ht="15" customHeight="1" x14ac:dyDescent="0.2">
      <c r="A44" s="119">
        <v>38</v>
      </c>
      <c r="B44" s="117" t="s">
        <v>220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f t="shared" si="0"/>
        <v>0</v>
      </c>
      <c r="L44" s="99">
        <f t="shared" si="1"/>
        <v>0</v>
      </c>
      <c r="M44" s="99">
        <v>0</v>
      </c>
      <c r="N44" s="99">
        <v>0</v>
      </c>
      <c r="O44" s="99">
        <v>0</v>
      </c>
      <c r="P44" s="99">
        <v>0</v>
      </c>
      <c r="Q44" s="99">
        <v>0</v>
      </c>
      <c r="R44" s="99">
        <v>0</v>
      </c>
      <c r="S44" s="99">
        <v>1998</v>
      </c>
      <c r="T44" s="99">
        <v>717</v>
      </c>
      <c r="U44" s="99">
        <f t="shared" si="2"/>
        <v>1998</v>
      </c>
      <c r="V44" s="99">
        <f t="shared" si="3"/>
        <v>717</v>
      </c>
      <c r="W44" s="111">
        <f>'Pri Sec_outstanding_6'!Q44</f>
        <v>14675</v>
      </c>
      <c r="X44" s="111">
        <f t="shared" si="4"/>
        <v>15392</v>
      </c>
      <c r="Y44" s="111">
        <f>'CD Ratio_3(i)'!F44</f>
        <v>15392</v>
      </c>
      <c r="Z44" s="111">
        <f t="shared" si="5"/>
        <v>0</v>
      </c>
    </row>
    <row r="45" spans="1:26" ht="15" customHeight="1" x14ac:dyDescent="0.2">
      <c r="A45" s="119">
        <v>39</v>
      </c>
      <c r="B45" s="117" t="s">
        <v>221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85</v>
      </c>
      <c r="J45" s="99">
        <v>13769</v>
      </c>
      <c r="K45" s="99">
        <f t="shared" si="0"/>
        <v>85</v>
      </c>
      <c r="L45" s="99">
        <f t="shared" si="1"/>
        <v>13769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46577</v>
      </c>
      <c r="T45" s="99">
        <f>96470-18593</f>
        <v>77877</v>
      </c>
      <c r="U45" s="99">
        <f t="shared" si="2"/>
        <v>46662</v>
      </c>
      <c r="V45" s="99">
        <f t="shared" si="3"/>
        <v>91646</v>
      </c>
      <c r="W45" s="111">
        <f>'Pri Sec_outstanding_6'!Q45</f>
        <v>176200</v>
      </c>
      <c r="X45" s="111">
        <f t="shared" si="4"/>
        <v>267846</v>
      </c>
      <c r="Y45" s="111">
        <f>'CD Ratio_3(i)'!F45</f>
        <v>267846</v>
      </c>
      <c r="Z45" s="111">
        <f t="shared" si="5"/>
        <v>0</v>
      </c>
    </row>
    <row r="46" spans="1:26" ht="15" customHeight="1" x14ac:dyDescent="0.2">
      <c r="A46" s="119">
        <v>40</v>
      </c>
      <c r="B46" s="117" t="s">
        <v>222</v>
      </c>
      <c r="C46" s="99">
        <v>0</v>
      </c>
      <c r="D46" s="99">
        <v>0</v>
      </c>
      <c r="E46" s="99">
        <v>98</v>
      </c>
      <c r="F46" s="99">
        <v>225</v>
      </c>
      <c r="G46" s="99">
        <v>0</v>
      </c>
      <c r="H46" s="99">
        <v>0</v>
      </c>
      <c r="I46" s="99">
        <v>0</v>
      </c>
      <c r="J46" s="99">
        <v>0</v>
      </c>
      <c r="K46" s="99">
        <f t="shared" si="0"/>
        <v>98</v>
      </c>
      <c r="L46" s="99">
        <f t="shared" si="1"/>
        <v>225</v>
      </c>
      <c r="M46" s="99">
        <v>15</v>
      </c>
      <c r="N46" s="99">
        <v>96</v>
      </c>
      <c r="O46" s="99">
        <v>0</v>
      </c>
      <c r="P46" s="99">
        <v>0</v>
      </c>
      <c r="Q46" s="99">
        <v>35</v>
      </c>
      <c r="R46" s="99">
        <v>101</v>
      </c>
      <c r="S46" s="99">
        <v>21</v>
      </c>
      <c r="T46" s="99">
        <v>1679</v>
      </c>
      <c r="U46" s="99">
        <f t="shared" si="2"/>
        <v>169</v>
      </c>
      <c r="V46" s="99">
        <f t="shared" si="3"/>
        <v>2101</v>
      </c>
      <c r="W46" s="111">
        <f>'Pri Sec_outstanding_6'!Q46</f>
        <v>1140</v>
      </c>
      <c r="X46" s="111">
        <f t="shared" si="4"/>
        <v>3241</v>
      </c>
      <c r="Y46" s="111">
        <f>'CD Ratio_3(i)'!F46</f>
        <v>3241</v>
      </c>
      <c r="Z46" s="111">
        <f t="shared" si="5"/>
        <v>0</v>
      </c>
    </row>
    <row r="47" spans="1:26" ht="15" customHeight="1" x14ac:dyDescent="0.2">
      <c r="A47" s="119">
        <v>41</v>
      </c>
      <c r="B47" s="117" t="s">
        <v>223</v>
      </c>
      <c r="C47" s="99">
        <v>0</v>
      </c>
      <c r="D47" s="99">
        <v>0</v>
      </c>
      <c r="E47" s="99">
        <v>186</v>
      </c>
      <c r="F47" s="99">
        <v>1014.66</v>
      </c>
      <c r="G47" s="99">
        <v>30</v>
      </c>
      <c r="H47" s="99">
        <v>673.51</v>
      </c>
      <c r="I47" s="99">
        <v>11</v>
      </c>
      <c r="J47" s="99">
        <v>2373.98</v>
      </c>
      <c r="K47" s="99">
        <f t="shared" si="0"/>
        <v>227</v>
      </c>
      <c r="L47" s="99">
        <f t="shared" si="1"/>
        <v>4062.15</v>
      </c>
      <c r="M47" s="99">
        <v>4</v>
      </c>
      <c r="N47" s="99">
        <v>632.67999999999995</v>
      </c>
      <c r="O47" s="99">
        <v>36</v>
      </c>
      <c r="P47" s="99">
        <v>1626.56</v>
      </c>
      <c r="Q47" s="99">
        <v>10</v>
      </c>
      <c r="R47" s="99">
        <v>38.44</v>
      </c>
      <c r="S47" s="99">
        <v>212</v>
      </c>
      <c r="T47" s="99">
        <v>2988.46</v>
      </c>
      <c r="U47" s="99">
        <f t="shared" si="2"/>
        <v>489</v>
      </c>
      <c r="V47" s="99">
        <f t="shared" si="3"/>
        <v>9348.2900000000009</v>
      </c>
      <c r="W47" s="111">
        <f>'Pri Sec_outstanding_6'!Q47</f>
        <v>22429.719999999998</v>
      </c>
      <c r="X47" s="111">
        <f t="shared" si="4"/>
        <v>31778.01</v>
      </c>
      <c r="Y47" s="111">
        <f>'CD Ratio_3(i)'!F47</f>
        <v>31778</v>
      </c>
      <c r="Z47" s="111">
        <f t="shared" si="5"/>
        <v>9.9999999983992893E-3</v>
      </c>
    </row>
    <row r="48" spans="1:26" ht="15" customHeight="1" x14ac:dyDescent="0.2">
      <c r="A48" s="119">
        <v>42</v>
      </c>
      <c r="B48" s="117" t="s">
        <v>224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f t="shared" si="0"/>
        <v>0</v>
      </c>
      <c r="L48" s="99">
        <f t="shared" si="1"/>
        <v>0</v>
      </c>
      <c r="M48" s="99">
        <v>0</v>
      </c>
      <c r="N48" s="99">
        <v>0</v>
      </c>
      <c r="O48" s="99">
        <v>0</v>
      </c>
      <c r="P48" s="99">
        <v>0</v>
      </c>
      <c r="Q48" s="99">
        <v>0</v>
      </c>
      <c r="R48" s="99">
        <v>0</v>
      </c>
      <c r="S48" s="99">
        <v>201</v>
      </c>
      <c r="T48" s="99">
        <v>13802</v>
      </c>
      <c r="U48" s="99">
        <f t="shared" si="2"/>
        <v>201</v>
      </c>
      <c r="V48" s="99">
        <f t="shared" si="3"/>
        <v>13802</v>
      </c>
      <c r="W48" s="111">
        <f>'Pri Sec_outstanding_6'!Q48</f>
        <v>0</v>
      </c>
      <c r="X48" s="111">
        <f t="shared" si="4"/>
        <v>13802</v>
      </c>
      <c r="Y48" s="111">
        <f>'CD Ratio_3(i)'!F48</f>
        <v>13802</v>
      </c>
      <c r="Z48" s="111">
        <f t="shared" si="5"/>
        <v>0</v>
      </c>
    </row>
    <row r="49" spans="1:26" ht="15" customHeight="1" x14ac:dyDescent="0.2">
      <c r="A49" s="119">
        <v>43</v>
      </c>
      <c r="B49" s="123" t="s">
        <v>73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J49" s="99">
        <v>0</v>
      </c>
      <c r="K49" s="99">
        <f t="shared" si="0"/>
        <v>0</v>
      </c>
      <c r="L49" s="99">
        <f t="shared" si="1"/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4224</v>
      </c>
      <c r="T49" s="99">
        <v>59957</v>
      </c>
      <c r="U49" s="99">
        <f t="shared" si="2"/>
        <v>4224</v>
      </c>
      <c r="V49" s="99">
        <f t="shared" si="3"/>
        <v>59957</v>
      </c>
      <c r="W49" s="111">
        <f>'Pri Sec_outstanding_6'!Q49</f>
        <v>163093</v>
      </c>
      <c r="X49" s="111">
        <f t="shared" si="4"/>
        <v>223050</v>
      </c>
      <c r="Y49" s="111">
        <f>'CD Ratio_3(i)'!F49</f>
        <v>223050</v>
      </c>
      <c r="Z49" s="111">
        <f t="shared" si="5"/>
        <v>0</v>
      </c>
    </row>
    <row r="50" spans="1:26" ht="15" customHeight="1" x14ac:dyDescent="0.2">
      <c r="A50" s="119">
        <v>44</v>
      </c>
      <c r="B50" s="117" t="s">
        <v>225</v>
      </c>
      <c r="C50" s="99">
        <v>0</v>
      </c>
      <c r="D50" s="99">
        <v>0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J50" s="99">
        <v>0</v>
      </c>
      <c r="K50" s="99">
        <f t="shared" si="0"/>
        <v>0</v>
      </c>
      <c r="L50" s="99">
        <f t="shared" si="1"/>
        <v>0</v>
      </c>
      <c r="M50" s="99">
        <v>0</v>
      </c>
      <c r="N50" s="99">
        <v>0</v>
      </c>
      <c r="O50" s="99">
        <v>1</v>
      </c>
      <c r="P50" s="99">
        <v>31</v>
      </c>
      <c r="Q50" s="99">
        <v>0</v>
      </c>
      <c r="R50" s="99">
        <v>0</v>
      </c>
      <c r="S50" s="99">
        <v>44</v>
      </c>
      <c r="T50" s="99">
        <v>3196</v>
      </c>
      <c r="U50" s="99">
        <f t="shared" si="2"/>
        <v>45</v>
      </c>
      <c r="V50" s="99">
        <f t="shared" si="3"/>
        <v>3227</v>
      </c>
      <c r="W50" s="111">
        <f>'Pri Sec_outstanding_6'!Q50</f>
        <v>1311</v>
      </c>
      <c r="X50" s="111">
        <f t="shared" si="4"/>
        <v>4538</v>
      </c>
      <c r="Y50" s="111">
        <f>'CD Ratio_3(i)'!F50</f>
        <v>4538</v>
      </c>
      <c r="Z50" s="111">
        <f t="shared" si="5"/>
        <v>0</v>
      </c>
    </row>
    <row r="51" spans="1:26" ht="15" customHeight="1" x14ac:dyDescent="0.2">
      <c r="A51" s="119">
        <v>45</v>
      </c>
      <c r="B51" s="117" t="s">
        <v>226</v>
      </c>
      <c r="C51" s="99">
        <v>76</v>
      </c>
      <c r="D51" s="99">
        <v>250</v>
      </c>
      <c r="E51" s="99">
        <v>0</v>
      </c>
      <c r="F51" s="99">
        <v>0</v>
      </c>
      <c r="G51" s="99">
        <v>0</v>
      </c>
      <c r="H51" s="99">
        <v>0</v>
      </c>
      <c r="I51" s="99">
        <v>0</v>
      </c>
      <c r="J51" s="99">
        <v>0</v>
      </c>
      <c r="K51" s="99">
        <f t="shared" si="0"/>
        <v>0</v>
      </c>
      <c r="L51" s="99">
        <f t="shared" si="1"/>
        <v>0</v>
      </c>
      <c r="M51" s="99">
        <v>0</v>
      </c>
      <c r="N51" s="99">
        <v>0</v>
      </c>
      <c r="O51" s="99">
        <v>3</v>
      </c>
      <c r="P51" s="99">
        <v>70</v>
      </c>
      <c r="Q51" s="99">
        <v>64</v>
      </c>
      <c r="R51" s="99">
        <v>155</v>
      </c>
      <c r="S51" s="99">
        <v>14791</v>
      </c>
      <c r="T51" s="99">
        <v>31723</v>
      </c>
      <c r="U51" s="99">
        <f t="shared" si="2"/>
        <v>14934</v>
      </c>
      <c r="V51" s="99">
        <f t="shared" si="3"/>
        <v>32198</v>
      </c>
      <c r="W51" s="111">
        <f>'Pri Sec_outstanding_6'!Q51</f>
        <v>50734</v>
      </c>
      <c r="X51" s="111">
        <f t="shared" si="4"/>
        <v>82932</v>
      </c>
      <c r="Y51" s="111">
        <f>'CD Ratio_3(i)'!F51</f>
        <v>82932</v>
      </c>
      <c r="Z51" s="111">
        <f t="shared" si="5"/>
        <v>0</v>
      </c>
    </row>
    <row r="52" spans="1:26" ht="15" customHeight="1" x14ac:dyDescent="0.2">
      <c r="A52" s="119">
        <v>46</v>
      </c>
      <c r="B52" s="117" t="s">
        <v>227</v>
      </c>
      <c r="C52" s="99">
        <v>5</v>
      </c>
      <c r="D52" s="99">
        <v>15</v>
      </c>
      <c r="E52" s="99">
        <v>4</v>
      </c>
      <c r="F52" s="99">
        <v>15</v>
      </c>
      <c r="G52" s="99">
        <v>7</v>
      </c>
      <c r="H52" s="99">
        <v>70</v>
      </c>
      <c r="I52" s="99">
        <v>5</v>
      </c>
      <c r="J52" s="99">
        <v>48.67</v>
      </c>
      <c r="K52" s="99">
        <f t="shared" si="0"/>
        <v>16</v>
      </c>
      <c r="L52" s="99">
        <f t="shared" si="1"/>
        <v>133.67000000000002</v>
      </c>
      <c r="M52" s="99">
        <v>0</v>
      </c>
      <c r="N52" s="99">
        <v>0</v>
      </c>
      <c r="O52" s="99">
        <v>0</v>
      </c>
      <c r="P52" s="99">
        <v>0</v>
      </c>
      <c r="Q52" s="99">
        <v>0</v>
      </c>
      <c r="R52" s="99">
        <v>0</v>
      </c>
      <c r="S52" s="99">
        <v>0</v>
      </c>
      <c r="T52" s="99">
        <v>0</v>
      </c>
      <c r="U52" s="99">
        <f t="shared" si="2"/>
        <v>21</v>
      </c>
      <c r="V52" s="99">
        <f t="shared" si="3"/>
        <v>148.67000000000002</v>
      </c>
      <c r="W52" s="111">
        <f>'Pri Sec_outstanding_6'!Q52</f>
        <v>5069.5</v>
      </c>
      <c r="X52" s="111">
        <f t="shared" si="4"/>
        <v>5218.17</v>
      </c>
      <c r="Y52" s="111">
        <f>'CD Ratio_3(i)'!F52</f>
        <v>5218.17</v>
      </c>
      <c r="Z52" s="111">
        <f t="shared" si="5"/>
        <v>0</v>
      </c>
    </row>
    <row r="53" spans="1:26" ht="15" customHeight="1" x14ac:dyDescent="0.2">
      <c r="A53" s="119">
        <v>47</v>
      </c>
      <c r="B53" s="117" t="s">
        <v>77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J53" s="99">
        <v>0</v>
      </c>
      <c r="K53" s="99">
        <f t="shared" si="0"/>
        <v>0</v>
      </c>
      <c r="L53" s="99">
        <f t="shared" si="1"/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68</v>
      </c>
      <c r="T53" s="99">
        <v>6120</v>
      </c>
      <c r="U53" s="99">
        <f t="shared" si="2"/>
        <v>68</v>
      </c>
      <c r="V53" s="99">
        <f t="shared" si="3"/>
        <v>6120</v>
      </c>
      <c r="W53" s="111">
        <f>'Pri Sec_outstanding_6'!Q53</f>
        <v>0</v>
      </c>
      <c r="X53" s="111">
        <f t="shared" si="4"/>
        <v>6120</v>
      </c>
      <c r="Y53" s="111">
        <f>'CD Ratio_3(i)'!F53</f>
        <v>6120</v>
      </c>
      <c r="Z53" s="111">
        <f t="shared" si="5"/>
        <v>0</v>
      </c>
    </row>
    <row r="54" spans="1:26" ht="15" customHeight="1" x14ac:dyDescent="0.2">
      <c r="A54" s="119">
        <v>48</v>
      </c>
      <c r="B54" s="117" t="s">
        <v>228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f t="shared" si="0"/>
        <v>0</v>
      </c>
      <c r="L54" s="99">
        <f t="shared" si="1"/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99">
        <v>53</v>
      </c>
      <c r="T54" s="99">
        <v>5163</v>
      </c>
      <c r="U54" s="99">
        <f t="shared" si="2"/>
        <v>53</v>
      </c>
      <c r="V54" s="99">
        <f t="shared" si="3"/>
        <v>5163</v>
      </c>
      <c r="W54" s="111">
        <f>'Pri Sec_outstanding_6'!Q54</f>
        <v>0</v>
      </c>
      <c r="X54" s="111">
        <f t="shared" si="4"/>
        <v>5163</v>
      </c>
      <c r="Y54" s="111">
        <f>'CD Ratio_3(i)'!F54</f>
        <v>5163</v>
      </c>
      <c r="Z54" s="111">
        <f t="shared" si="5"/>
        <v>0</v>
      </c>
    </row>
    <row r="55" spans="1:26" ht="15" customHeight="1" x14ac:dyDescent="0.2">
      <c r="A55" s="119">
        <v>49</v>
      </c>
      <c r="B55" s="117" t="s">
        <v>76</v>
      </c>
      <c r="C55" s="99">
        <v>0</v>
      </c>
      <c r="D55" s="99">
        <v>0</v>
      </c>
      <c r="E55" s="99">
        <v>0</v>
      </c>
      <c r="F55" s="99">
        <v>0</v>
      </c>
      <c r="G55" s="99">
        <v>1</v>
      </c>
      <c r="H55" s="99">
        <v>247</v>
      </c>
      <c r="I55" s="99">
        <v>0</v>
      </c>
      <c r="J55" s="99">
        <v>0</v>
      </c>
      <c r="K55" s="99">
        <f t="shared" si="0"/>
        <v>1</v>
      </c>
      <c r="L55" s="99">
        <f t="shared" si="1"/>
        <v>247</v>
      </c>
      <c r="M55" s="99">
        <v>0</v>
      </c>
      <c r="N55" s="99">
        <v>0</v>
      </c>
      <c r="O55" s="99">
        <v>9</v>
      </c>
      <c r="P55" s="99">
        <v>300</v>
      </c>
      <c r="Q55" s="99">
        <v>42</v>
      </c>
      <c r="R55" s="99">
        <v>102</v>
      </c>
      <c r="S55" s="99">
        <v>330</v>
      </c>
      <c r="T55" s="99">
        <v>14686</v>
      </c>
      <c r="U55" s="99">
        <f t="shared" si="2"/>
        <v>382</v>
      </c>
      <c r="V55" s="99">
        <f t="shared" si="3"/>
        <v>15335</v>
      </c>
      <c r="W55" s="111">
        <f>'Pri Sec_outstanding_6'!Q55</f>
        <v>58231</v>
      </c>
      <c r="X55" s="111">
        <f t="shared" si="4"/>
        <v>73566</v>
      </c>
      <c r="Y55" s="111">
        <f>'CD Ratio_3(i)'!F55</f>
        <v>73566</v>
      </c>
      <c r="Z55" s="111">
        <f t="shared" si="5"/>
        <v>0</v>
      </c>
    </row>
    <row r="56" spans="1:26" s="112" customFormat="1" ht="15" customHeight="1" x14ac:dyDescent="0.2">
      <c r="A56" s="106"/>
      <c r="B56" s="121" t="s">
        <v>289</v>
      </c>
      <c r="C56" s="106">
        <f>SUM(C34:C55)</f>
        <v>81</v>
      </c>
      <c r="D56" s="106">
        <f t="shared" ref="D56:T56" si="8">SUM(D34:D55)</f>
        <v>265</v>
      </c>
      <c r="E56" s="106">
        <f t="shared" si="8"/>
        <v>4474</v>
      </c>
      <c r="F56" s="106">
        <f t="shared" si="8"/>
        <v>7114.7</v>
      </c>
      <c r="G56" s="106">
        <f t="shared" si="8"/>
        <v>68</v>
      </c>
      <c r="H56" s="106">
        <f t="shared" si="8"/>
        <v>7394.0700000000006</v>
      </c>
      <c r="I56" s="106">
        <f t="shared" si="8"/>
        <v>168</v>
      </c>
      <c r="J56" s="106">
        <f t="shared" si="8"/>
        <v>36381.730000000003</v>
      </c>
      <c r="K56" s="106">
        <f t="shared" si="8"/>
        <v>4710</v>
      </c>
      <c r="L56" s="106">
        <f t="shared" si="8"/>
        <v>50890.5</v>
      </c>
      <c r="M56" s="106">
        <f t="shared" si="8"/>
        <v>36</v>
      </c>
      <c r="N56" s="106">
        <f t="shared" si="8"/>
        <v>915.29</v>
      </c>
      <c r="O56" s="106">
        <f t="shared" si="8"/>
        <v>5782</v>
      </c>
      <c r="P56" s="106">
        <f t="shared" si="8"/>
        <v>136076.76</v>
      </c>
      <c r="Q56" s="106">
        <f t="shared" si="8"/>
        <v>37522</v>
      </c>
      <c r="R56" s="106">
        <f t="shared" si="8"/>
        <v>110134.95000000001</v>
      </c>
      <c r="S56" s="106">
        <f t="shared" si="8"/>
        <v>384294</v>
      </c>
      <c r="T56" s="106">
        <f t="shared" si="8"/>
        <v>1321789.5299999998</v>
      </c>
      <c r="U56" s="106">
        <f t="shared" si="2"/>
        <v>432425</v>
      </c>
      <c r="V56" s="106">
        <f t="shared" si="3"/>
        <v>1620072.0299999998</v>
      </c>
      <c r="W56" s="111">
        <f>'Pri Sec_outstanding_6'!Q56</f>
        <v>2054323.79</v>
      </c>
      <c r="X56" s="111">
        <f t="shared" si="4"/>
        <v>3674395.82</v>
      </c>
      <c r="Y56" s="111">
        <f>'CD Ratio_3(i)'!F56</f>
        <v>3674395.41</v>
      </c>
      <c r="Z56" s="111">
        <f t="shared" si="5"/>
        <v>0.40999999968335032</v>
      </c>
    </row>
    <row r="57" spans="1:26" ht="15" customHeight="1" x14ac:dyDescent="0.2">
      <c r="A57" s="119">
        <v>48</v>
      </c>
      <c r="B57" s="117" t="s">
        <v>46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f t="shared" si="0"/>
        <v>0</v>
      </c>
      <c r="L57" s="99">
        <f t="shared" si="1"/>
        <v>0</v>
      </c>
      <c r="M57" s="99">
        <v>0</v>
      </c>
      <c r="N57" s="99">
        <v>0</v>
      </c>
      <c r="O57" s="99">
        <v>207</v>
      </c>
      <c r="P57" s="99">
        <v>2536.56</v>
      </c>
      <c r="Q57" s="99">
        <v>11062</v>
      </c>
      <c r="R57" s="99">
        <v>8449.1</v>
      </c>
      <c r="S57" s="99">
        <v>14044</v>
      </c>
      <c r="T57" s="99">
        <v>31666.720000000001</v>
      </c>
      <c r="U57" s="99">
        <f t="shared" si="2"/>
        <v>25313</v>
      </c>
      <c r="V57" s="99">
        <f t="shared" si="3"/>
        <v>42652.38</v>
      </c>
      <c r="W57" s="111">
        <f>'Pri Sec_outstanding_6'!Q57</f>
        <v>343152.95</v>
      </c>
      <c r="X57" s="111">
        <f t="shared" si="4"/>
        <v>385805.33</v>
      </c>
      <c r="Y57" s="111">
        <f>'CD Ratio_3(i)'!F57</f>
        <v>385805</v>
      </c>
      <c r="Z57" s="111">
        <f t="shared" si="5"/>
        <v>0.33000000001629815</v>
      </c>
    </row>
    <row r="58" spans="1:26" ht="15" customHeight="1" x14ac:dyDescent="0.2">
      <c r="A58" s="119">
        <v>49</v>
      </c>
      <c r="B58" s="117" t="s">
        <v>229</v>
      </c>
      <c r="C58" s="99">
        <v>0</v>
      </c>
      <c r="D58" s="99">
        <v>0</v>
      </c>
      <c r="E58" s="99">
        <v>0</v>
      </c>
      <c r="F58" s="99">
        <v>0</v>
      </c>
      <c r="G58" s="99">
        <v>0</v>
      </c>
      <c r="H58" s="99">
        <v>0</v>
      </c>
      <c r="I58" s="99">
        <v>0</v>
      </c>
      <c r="J58" s="99">
        <v>0</v>
      </c>
      <c r="K58" s="99">
        <f t="shared" si="0"/>
        <v>0</v>
      </c>
      <c r="L58" s="99">
        <f t="shared" si="1"/>
        <v>0</v>
      </c>
      <c r="M58" s="99">
        <v>0</v>
      </c>
      <c r="N58" s="99">
        <v>0</v>
      </c>
      <c r="O58" s="99">
        <v>4</v>
      </c>
      <c r="P58" s="99">
        <v>101</v>
      </c>
      <c r="Q58" s="99">
        <v>6471</v>
      </c>
      <c r="R58" s="99">
        <v>5362</v>
      </c>
      <c r="S58" s="99">
        <v>13694</v>
      </c>
      <c r="T58" s="99">
        <v>10830</v>
      </c>
      <c r="U58" s="99">
        <f t="shared" si="2"/>
        <v>20169</v>
      </c>
      <c r="V58" s="99">
        <f t="shared" si="3"/>
        <v>16293</v>
      </c>
      <c r="W58" s="111">
        <f>'Pri Sec_outstanding_6'!Q58</f>
        <v>234120</v>
      </c>
      <c r="X58" s="111">
        <f t="shared" si="4"/>
        <v>250413</v>
      </c>
      <c r="Y58" s="111">
        <f>'CD Ratio_3(i)'!F58</f>
        <v>250413</v>
      </c>
      <c r="Z58" s="111">
        <f t="shared" si="5"/>
        <v>0</v>
      </c>
    </row>
    <row r="59" spans="1:26" ht="15" customHeight="1" x14ac:dyDescent="0.2">
      <c r="A59" s="119">
        <v>50</v>
      </c>
      <c r="B59" s="117" t="s">
        <v>52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f t="shared" si="0"/>
        <v>0</v>
      </c>
      <c r="L59" s="99">
        <f t="shared" si="1"/>
        <v>0</v>
      </c>
      <c r="M59" s="99">
        <v>0</v>
      </c>
      <c r="N59" s="99">
        <v>0</v>
      </c>
      <c r="O59" s="99">
        <v>0</v>
      </c>
      <c r="P59" s="99">
        <v>0</v>
      </c>
      <c r="Q59" s="99">
        <v>0</v>
      </c>
      <c r="R59" s="99">
        <v>0</v>
      </c>
      <c r="S59" s="99">
        <v>23079</v>
      </c>
      <c r="T59" s="99">
        <v>37875.480000000003</v>
      </c>
      <c r="U59" s="99">
        <f t="shared" si="2"/>
        <v>23079</v>
      </c>
      <c r="V59" s="99">
        <f t="shared" si="3"/>
        <v>37875.480000000003</v>
      </c>
      <c r="W59" s="111">
        <f>'Pri Sec_outstanding_6'!Q59</f>
        <v>385332.64</v>
      </c>
      <c r="X59" s="111">
        <f t="shared" si="4"/>
        <v>423208.12</v>
      </c>
      <c r="Y59" s="111">
        <f>'CD Ratio_3(i)'!F59</f>
        <v>423208</v>
      </c>
      <c r="Z59" s="111">
        <f t="shared" si="5"/>
        <v>0.11999999999534339</v>
      </c>
    </row>
    <row r="60" spans="1:26" s="112" customFormat="1" x14ac:dyDescent="0.2">
      <c r="A60" s="357"/>
      <c r="B60" s="106" t="s">
        <v>295</v>
      </c>
      <c r="C60" s="106">
        <f>SUM(C57:C59)</f>
        <v>0</v>
      </c>
      <c r="D60" s="106">
        <f t="shared" ref="D60:T60" si="9">SUM(D57:D59)</f>
        <v>0</v>
      </c>
      <c r="E60" s="106">
        <f t="shared" si="9"/>
        <v>0</v>
      </c>
      <c r="F60" s="106">
        <f t="shared" si="9"/>
        <v>0</v>
      </c>
      <c r="G60" s="106">
        <f t="shared" si="9"/>
        <v>0</v>
      </c>
      <c r="H60" s="106">
        <f t="shared" si="9"/>
        <v>0</v>
      </c>
      <c r="I60" s="106">
        <f t="shared" si="9"/>
        <v>0</v>
      </c>
      <c r="J60" s="106">
        <f t="shared" si="9"/>
        <v>0</v>
      </c>
      <c r="K60" s="106">
        <f t="shared" si="9"/>
        <v>0</v>
      </c>
      <c r="L60" s="106">
        <f t="shared" si="9"/>
        <v>0</v>
      </c>
      <c r="M60" s="106">
        <f t="shared" si="9"/>
        <v>0</v>
      </c>
      <c r="N60" s="106">
        <f t="shared" si="9"/>
        <v>0</v>
      </c>
      <c r="O60" s="106">
        <f t="shared" si="9"/>
        <v>211</v>
      </c>
      <c r="P60" s="106">
        <f t="shared" si="9"/>
        <v>2637.56</v>
      </c>
      <c r="Q60" s="106">
        <f t="shared" si="9"/>
        <v>17533</v>
      </c>
      <c r="R60" s="106">
        <f t="shared" si="9"/>
        <v>13811.1</v>
      </c>
      <c r="S60" s="106">
        <f t="shared" si="9"/>
        <v>50817</v>
      </c>
      <c r="T60" s="106">
        <f t="shared" si="9"/>
        <v>80372.200000000012</v>
      </c>
      <c r="U60" s="106">
        <f t="shared" si="2"/>
        <v>68561</v>
      </c>
      <c r="V60" s="106">
        <f t="shared" si="3"/>
        <v>96820.860000000015</v>
      </c>
      <c r="W60" s="111">
        <f>'Pri Sec_outstanding_6'!Q60</f>
        <v>962605.59</v>
      </c>
      <c r="X60" s="111">
        <f t="shared" si="4"/>
        <v>1059426.45</v>
      </c>
      <c r="Y60" s="111">
        <f>'CD Ratio_3(i)'!F60</f>
        <v>1059426</v>
      </c>
      <c r="Z60" s="111">
        <f t="shared" si="5"/>
        <v>0.44999999995343387</v>
      </c>
    </row>
    <row r="61" spans="1:26" x14ac:dyDescent="0.2">
      <c r="A61" s="119">
        <v>51</v>
      </c>
      <c r="B61" s="99" t="s">
        <v>290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J61" s="99">
        <v>0</v>
      </c>
      <c r="K61" s="99">
        <f t="shared" si="0"/>
        <v>0</v>
      </c>
      <c r="L61" s="99">
        <f t="shared" si="1"/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0</v>
      </c>
      <c r="U61" s="99">
        <f t="shared" si="2"/>
        <v>0</v>
      </c>
      <c r="V61" s="99">
        <f t="shared" si="3"/>
        <v>0</v>
      </c>
      <c r="W61" s="111">
        <f>'Pri Sec_outstanding_6'!Q61</f>
        <v>2414164</v>
      </c>
      <c r="X61" s="111">
        <f t="shared" si="4"/>
        <v>2414164</v>
      </c>
      <c r="Y61" s="111">
        <f>'CD Ratio_3(i)'!F61</f>
        <v>2414164</v>
      </c>
      <c r="Z61" s="111">
        <f t="shared" si="5"/>
        <v>0</v>
      </c>
    </row>
    <row r="62" spans="1:26" s="112" customFormat="1" x14ac:dyDescent="0.2">
      <c r="A62" s="357"/>
      <c r="B62" s="106" t="s">
        <v>291</v>
      </c>
      <c r="C62" s="106">
        <f>C61</f>
        <v>0</v>
      </c>
      <c r="D62" s="106">
        <f t="shared" ref="D62:T62" si="10">D61</f>
        <v>0</v>
      </c>
      <c r="E62" s="106">
        <f t="shared" si="10"/>
        <v>0</v>
      </c>
      <c r="F62" s="106">
        <f t="shared" si="10"/>
        <v>0</v>
      </c>
      <c r="G62" s="106">
        <f t="shared" si="10"/>
        <v>0</v>
      </c>
      <c r="H62" s="106">
        <f t="shared" si="10"/>
        <v>0</v>
      </c>
      <c r="I62" s="106">
        <f t="shared" si="10"/>
        <v>0</v>
      </c>
      <c r="J62" s="106">
        <f t="shared" si="10"/>
        <v>0</v>
      </c>
      <c r="K62" s="106">
        <f t="shared" si="10"/>
        <v>0</v>
      </c>
      <c r="L62" s="106">
        <f t="shared" si="10"/>
        <v>0</v>
      </c>
      <c r="M62" s="106">
        <f t="shared" si="10"/>
        <v>0</v>
      </c>
      <c r="N62" s="106">
        <f t="shared" si="10"/>
        <v>0</v>
      </c>
      <c r="O62" s="106">
        <f t="shared" si="10"/>
        <v>0</v>
      </c>
      <c r="P62" s="106">
        <f t="shared" si="10"/>
        <v>0</v>
      </c>
      <c r="Q62" s="106">
        <f t="shared" si="10"/>
        <v>0</v>
      </c>
      <c r="R62" s="106">
        <f t="shared" si="10"/>
        <v>0</v>
      </c>
      <c r="S62" s="106">
        <f t="shared" si="10"/>
        <v>0</v>
      </c>
      <c r="T62" s="106">
        <f t="shared" si="10"/>
        <v>0</v>
      </c>
      <c r="U62" s="106">
        <f t="shared" si="2"/>
        <v>0</v>
      </c>
      <c r="V62" s="106">
        <f t="shared" si="3"/>
        <v>0</v>
      </c>
      <c r="W62" s="111">
        <f>'Pri Sec_outstanding_6'!Q62</f>
        <v>2414164</v>
      </c>
      <c r="X62" s="111">
        <f t="shared" si="4"/>
        <v>2414164</v>
      </c>
      <c r="Y62" s="111">
        <f>'CD Ratio_3(i)'!F62</f>
        <v>2414164</v>
      </c>
      <c r="Z62" s="111">
        <f t="shared" si="5"/>
        <v>0</v>
      </c>
    </row>
    <row r="63" spans="1:26" s="112" customFormat="1" x14ac:dyDescent="0.2">
      <c r="A63" s="357"/>
      <c r="B63" s="106" t="s">
        <v>292</v>
      </c>
      <c r="C63" s="106">
        <f>C62+C60+C56+C33</f>
        <v>17069</v>
      </c>
      <c r="D63" s="106">
        <f t="shared" ref="D63:T63" si="11">D62+D60+D56+D33</f>
        <v>101793.3</v>
      </c>
      <c r="E63" s="106">
        <f t="shared" si="11"/>
        <v>5253</v>
      </c>
      <c r="F63" s="106">
        <f t="shared" si="11"/>
        <v>21757.05</v>
      </c>
      <c r="G63" s="106">
        <f t="shared" si="11"/>
        <v>494</v>
      </c>
      <c r="H63" s="106">
        <f t="shared" si="11"/>
        <v>98467.9</v>
      </c>
      <c r="I63" s="106">
        <f t="shared" si="11"/>
        <v>826</v>
      </c>
      <c r="J63" s="106">
        <f t="shared" si="11"/>
        <v>365981.11</v>
      </c>
      <c r="K63" s="106">
        <f t="shared" si="11"/>
        <v>6573</v>
      </c>
      <c r="L63" s="106">
        <f t="shared" si="11"/>
        <v>486206.06</v>
      </c>
      <c r="M63" s="106">
        <f t="shared" si="11"/>
        <v>3637</v>
      </c>
      <c r="N63" s="106">
        <f t="shared" si="11"/>
        <v>35070.86</v>
      </c>
      <c r="O63" s="106">
        <f t="shared" si="11"/>
        <v>29328</v>
      </c>
      <c r="P63" s="106">
        <f t="shared" si="11"/>
        <v>647747.99</v>
      </c>
      <c r="Q63" s="106">
        <f t="shared" si="11"/>
        <v>216836</v>
      </c>
      <c r="R63" s="106">
        <f t="shared" si="11"/>
        <v>1144445.21</v>
      </c>
      <c r="S63" s="106">
        <f t="shared" si="11"/>
        <v>575344</v>
      </c>
      <c r="T63" s="106">
        <f t="shared" si="11"/>
        <v>5466019.6499999994</v>
      </c>
      <c r="U63" s="106">
        <f t="shared" si="2"/>
        <v>848787</v>
      </c>
      <c r="V63" s="106">
        <f t="shared" si="3"/>
        <v>7881283.0699999994</v>
      </c>
      <c r="W63" s="111">
        <f>'Pri Sec_outstanding_6'!Q63</f>
        <v>14310880.27</v>
      </c>
      <c r="X63" s="111">
        <f t="shared" si="4"/>
        <v>22192163.34</v>
      </c>
      <c r="Y63" s="111">
        <f>'CD Ratio_3(i)'!F63</f>
        <v>22192162.659999996</v>
      </c>
      <c r="Z63" s="111">
        <f t="shared" si="5"/>
        <v>0.68000000342726707</v>
      </c>
    </row>
    <row r="64" spans="1:26" hidden="1" x14ac:dyDescent="0.2"/>
    <row r="65" spans="3:22" hidden="1" x14ac:dyDescent="0.2"/>
    <row r="66" spans="3:22" hidden="1" x14ac:dyDescent="0.2">
      <c r="C66" s="111">
        <v>17024</v>
      </c>
      <c r="D66" s="111">
        <v>143174.93</v>
      </c>
      <c r="E66" s="111">
        <v>8782</v>
      </c>
      <c r="F66" s="111">
        <v>57723.229999999996</v>
      </c>
      <c r="G66" s="111">
        <v>995</v>
      </c>
      <c r="H66" s="111">
        <v>135477.49</v>
      </c>
      <c r="I66" s="111">
        <v>657</v>
      </c>
      <c r="J66" s="111">
        <v>335324.09999999998</v>
      </c>
      <c r="K66" s="111">
        <v>10434</v>
      </c>
      <c r="L66" s="111">
        <v>528524.81999999995</v>
      </c>
      <c r="M66" s="111">
        <v>3464</v>
      </c>
      <c r="N66" s="111">
        <v>33990.51</v>
      </c>
      <c r="O66" s="111">
        <v>29251</v>
      </c>
      <c r="P66" s="111">
        <v>697837.15999999992</v>
      </c>
      <c r="Q66" s="111">
        <v>177590</v>
      </c>
      <c r="R66" s="111">
        <v>1016244.6200000001</v>
      </c>
      <c r="S66" s="111">
        <v>293329</v>
      </c>
      <c r="T66" s="111">
        <v>5709857.4900000002</v>
      </c>
      <c r="U66" s="111">
        <v>531092</v>
      </c>
      <c r="V66" s="111">
        <v>8129629.5300000003</v>
      </c>
    </row>
    <row r="67" spans="3:22" hidden="1" x14ac:dyDescent="0.2"/>
    <row r="68" spans="3:22" s="112" customFormat="1" hidden="1" x14ac:dyDescent="0.2">
      <c r="D68" s="112">
        <f t="shared" ref="D68:V68" si="12">D63-D66</f>
        <v>-41381.62999999999</v>
      </c>
      <c r="F68" s="112">
        <f t="shared" si="12"/>
        <v>-35966.179999999993</v>
      </c>
      <c r="H68" s="112">
        <f t="shared" si="12"/>
        <v>-37009.589999999997</v>
      </c>
      <c r="J68" s="112">
        <f t="shared" si="12"/>
        <v>30657.010000000009</v>
      </c>
      <c r="L68" s="112">
        <f t="shared" si="12"/>
        <v>-42318.759999999951</v>
      </c>
      <c r="N68" s="112">
        <f t="shared" si="12"/>
        <v>1080.3499999999985</v>
      </c>
      <c r="P68" s="112">
        <f t="shared" si="12"/>
        <v>-50089.169999999925</v>
      </c>
      <c r="Q68" s="112">
        <f t="shared" si="12"/>
        <v>39246</v>
      </c>
      <c r="R68" s="112">
        <f t="shared" si="12"/>
        <v>128200.58999999985</v>
      </c>
      <c r="T68" s="112">
        <f t="shared" si="12"/>
        <v>-243837.84000000078</v>
      </c>
      <c r="V68" s="112">
        <f t="shared" si="12"/>
        <v>-248346.46000000089</v>
      </c>
    </row>
    <row r="69" spans="3:22" hidden="1" x14ac:dyDescent="0.2"/>
    <row r="70" spans="3:22" hidden="1" x14ac:dyDescent="0.2"/>
    <row r="71" spans="3:22" hidden="1" x14ac:dyDescent="0.2">
      <c r="U71" s="111">
        <f>'Pri Sec_outstanding_6'!P63</f>
        <v>11299669</v>
      </c>
      <c r="V71" s="111">
        <f>U63+U71</f>
        <v>12148456</v>
      </c>
    </row>
    <row r="72" spans="3:22" hidden="1" x14ac:dyDescent="0.2"/>
    <row r="73" spans="3:22" hidden="1" x14ac:dyDescent="0.2">
      <c r="V73" s="109">
        <f>V71/100000</f>
        <v>121.48456</v>
      </c>
    </row>
    <row r="74" spans="3:22" hidden="1" x14ac:dyDescent="0.2"/>
    <row r="75" spans="3:22" hidden="1" x14ac:dyDescent="0.2"/>
  </sheetData>
  <mergeCells count="15">
    <mergeCell ref="A1:V1"/>
    <mergeCell ref="A2:A5"/>
    <mergeCell ref="B2:B5"/>
    <mergeCell ref="C2:V2"/>
    <mergeCell ref="C3:D4"/>
    <mergeCell ref="E3:L3"/>
    <mergeCell ref="M3:N4"/>
    <mergeCell ref="O3:P4"/>
    <mergeCell ref="Q3:R4"/>
    <mergeCell ref="S3:T4"/>
    <mergeCell ref="U3:V4"/>
    <mergeCell ref="E4:F4"/>
    <mergeCell ref="G4:H4"/>
    <mergeCell ref="I4:J4"/>
    <mergeCell ref="K4:L4"/>
  </mergeCells>
  <conditionalFormatting sqref="B6">
    <cfRule type="duplicateValues" dxfId="157" priority="3"/>
  </conditionalFormatting>
  <conditionalFormatting sqref="B22">
    <cfRule type="duplicateValues" dxfId="156" priority="4"/>
  </conditionalFormatting>
  <conditionalFormatting sqref="B33:B34 B26:B30">
    <cfRule type="duplicateValues" dxfId="155" priority="5"/>
  </conditionalFormatting>
  <conditionalFormatting sqref="B52">
    <cfRule type="duplicateValues" dxfId="154" priority="6"/>
  </conditionalFormatting>
  <conditionalFormatting sqref="B56">
    <cfRule type="duplicateValues" dxfId="153" priority="7"/>
  </conditionalFormatting>
  <conditionalFormatting sqref="B58">
    <cfRule type="duplicateValues" dxfId="152" priority="8"/>
  </conditionalFormatting>
  <conditionalFormatting sqref="Z1:Z1048576">
    <cfRule type="cellIs" dxfId="151" priority="1" operator="lessThan">
      <formula>0</formula>
    </cfRule>
    <cfRule type="cellIs" dxfId="150" priority="2" operator="greaterThan">
      <formula>0</formula>
    </cfRule>
  </conditionalFormatting>
  <pageMargins left="0.7" right="0.7" top="0.25" bottom="0.25" header="0.3" footer="0.3"/>
  <pageSetup paperSize="9" scale="56" orientation="landscape" r:id="rId1"/>
  <headerFooter>
    <oddFooter>&amp;CData Table, State Level Banker's Committee, M.P. as on 31.12.2016 Page No. 82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2C1C91FC-83A2-4768-8982-51E97B215B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36</vt:i4>
      </vt:variant>
    </vt:vector>
  </HeadingPairs>
  <TitlesOfParts>
    <vt:vector size="74" baseType="lpstr">
      <vt:lpstr>Branch ATM_1</vt:lpstr>
      <vt:lpstr>CD Ratio_2</vt:lpstr>
      <vt:lpstr>CD Ratio_3(i)</vt:lpstr>
      <vt:lpstr>CD Ratio_Dist_3(ii)</vt:lpstr>
      <vt:lpstr>OutstandingAgri_4</vt:lpstr>
      <vt:lpstr>MSMEoutstanding_5</vt:lpstr>
      <vt:lpstr>Pri Sec_outstanding_6</vt:lpstr>
      <vt:lpstr>Weaker Sec_7</vt:lpstr>
      <vt:lpstr>NPS_OS_8</vt:lpstr>
      <vt:lpstr>ACP_Agri_9(i)</vt:lpstr>
      <vt:lpstr>ACP_Agri_9(ii)</vt:lpstr>
      <vt:lpstr>ACP_MSME_10</vt:lpstr>
      <vt:lpstr>ACP_PS_11(i)</vt:lpstr>
      <vt:lpstr>ACP_PS_11(ii)</vt:lpstr>
      <vt:lpstr>ACP_NPS_12</vt:lpstr>
      <vt:lpstr>NPA_13</vt:lpstr>
      <vt:lpstr>NPA_PS_14</vt:lpstr>
      <vt:lpstr>NPA_NPS_15</vt:lpstr>
      <vt:lpstr>NPA_Govt. Sch16</vt:lpstr>
      <vt:lpstr>KCC_17</vt:lpstr>
      <vt:lpstr>Education Loan_18</vt:lpstr>
      <vt:lpstr>SHGs_19</vt:lpstr>
      <vt:lpstr>Restructured Acs_33</vt:lpstr>
      <vt:lpstr>Minority_OS_20</vt:lpstr>
      <vt:lpstr>Minority_Disb_21</vt:lpstr>
      <vt:lpstr>SCST_OS_22</vt:lpstr>
      <vt:lpstr>SCST_Disb_23</vt:lpstr>
      <vt:lpstr>Women_24</vt:lpstr>
      <vt:lpstr>Brick&amp; mortar_25</vt:lpstr>
      <vt:lpstr>BRISC_26</vt:lpstr>
      <vt:lpstr>PMEGP_27</vt:lpstr>
      <vt:lpstr>CMRHM_28</vt:lpstr>
      <vt:lpstr>PMMY_29</vt:lpstr>
      <vt:lpstr>SUI_30</vt:lpstr>
      <vt:lpstr>NRLM_31</vt:lpstr>
      <vt:lpstr>RSETI_32</vt:lpstr>
      <vt:lpstr>PMJDY_33</vt:lpstr>
      <vt:lpstr>Cashless_34</vt:lpstr>
      <vt:lpstr>'ACP_Agri_9(i)'!Print_Area</vt:lpstr>
      <vt:lpstr>'ACP_Agri_9(ii)'!Print_Area</vt:lpstr>
      <vt:lpstr>ACP_MSME_10!Print_Area</vt:lpstr>
      <vt:lpstr>ACP_NPS_12!Print_Area</vt:lpstr>
      <vt:lpstr>'ACP_PS_11(i)'!Print_Area</vt:lpstr>
      <vt:lpstr>'ACP_PS_11(ii)'!Print_Area</vt:lpstr>
      <vt:lpstr>'Branch ATM_1'!Print_Area</vt:lpstr>
      <vt:lpstr>'Brick&amp; mortar_25'!Print_Area</vt:lpstr>
      <vt:lpstr>BRISC_26!Print_Area</vt:lpstr>
      <vt:lpstr>'CD Ratio_2'!Print_Area</vt:lpstr>
      <vt:lpstr>'CD Ratio_3(i)'!Print_Area</vt:lpstr>
      <vt:lpstr>'CD Ratio_Dist_3(ii)'!Print_Area</vt:lpstr>
      <vt:lpstr>CMRHM_28!Print_Area</vt:lpstr>
      <vt:lpstr>'Education Loan_18'!Print_Area</vt:lpstr>
      <vt:lpstr>KCC_17!Print_Area</vt:lpstr>
      <vt:lpstr>Minority_Disb_21!Print_Area</vt:lpstr>
      <vt:lpstr>Minority_OS_20!Print_Area</vt:lpstr>
      <vt:lpstr>MSMEoutstanding_5!Print_Area</vt:lpstr>
      <vt:lpstr>NPA_13!Print_Area</vt:lpstr>
      <vt:lpstr>'NPA_Govt. Sch16'!Print_Area</vt:lpstr>
      <vt:lpstr>NPA_NPS_15!Print_Area</vt:lpstr>
      <vt:lpstr>NPA_PS_14!Print_Area</vt:lpstr>
      <vt:lpstr>NPS_OS_8!Print_Area</vt:lpstr>
      <vt:lpstr>NRLM_31!Print_Area</vt:lpstr>
      <vt:lpstr>OutstandingAgri_4!Print_Area</vt:lpstr>
      <vt:lpstr>PMJDY_33!Print_Area</vt:lpstr>
      <vt:lpstr>PMMY_29!Print_Area</vt:lpstr>
      <vt:lpstr>'Pri Sec_outstanding_6'!Print_Area</vt:lpstr>
      <vt:lpstr>RSETI_32!Print_Area</vt:lpstr>
      <vt:lpstr>SCST_Disb_23!Print_Area</vt:lpstr>
      <vt:lpstr>SCST_OS_22!Print_Area</vt:lpstr>
      <vt:lpstr>SHGs_19!Print_Area</vt:lpstr>
      <vt:lpstr>SUI_30!Print_Area</vt:lpstr>
      <vt:lpstr>'Weaker Sec_7'!Print_Area</vt:lpstr>
      <vt:lpstr>Women_24!Print_Area</vt:lpstr>
      <vt:lpstr>'Branch ATM_1'!Print_Titles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2015-10-29T06:25:08Z</dcterms:created>
  <dcterms:modified xsi:type="dcterms:W3CDTF">2017-02-09T11:29:47Z</dcterms:modified>
</cp:coreProperties>
</file>